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15-21 Apr' 11 (WK 16)" sheetId="1" r:id="rId1"/>
    <sheet name="31 Dec 10'-21 Apr'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'15-21 Apr'' 11 (WK 16)'!$A$1:$N$78</definedName>
    <definedName name="_xlnm.Print_Area" localSheetId="1">'31 Dec 10'-21 Apr' 11 (Annual)'!#REF!</definedName>
  </definedNames>
  <calcPr fullCalcOnLoad="1"/>
</workbook>
</file>

<file path=xl/sharedStrings.xml><?xml version="1.0" encoding="utf-8"?>
<sst xmlns="http://schemas.openxmlformats.org/spreadsheetml/2006/main" count="1110" uniqueCount="282">
  <si>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</si>
  <si>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</si>
  <si>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</si>
  <si>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</si>
  <si>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</si>
  <si>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</si>
  <si>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</si>
  <si>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</si>
  <si>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</si>
  <si>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</si>
  <si>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</si>
  <si>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</si>
  <si>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</si>
  <si>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</si>
  <si>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</si>
  <si>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</si>
  <si>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</si>
  <si>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</si>
  <si>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</si>
  <si>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</si>
  <si>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</si>
  <si>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</si>
  <si>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</si>
  <si>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</si>
  <si>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</si>
  <si>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</si>
  <si>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</si>
  <si>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</si>
  <si>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</si>
  <si>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</si>
  <si>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</si>
  <si>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</si>
  <si>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</si>
  <si>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</si>
  <si>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</si>
  <si>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</si>
  <si>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</si>
  <si>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</si>
  <si>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</si>
  <si>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</si>
  <si>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</si>
  <si>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</si>
  <si>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</si>
  <si>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</si>
  <si>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</si>
  <si>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</si>
  <si>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</si>
  <si>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</si>
  <si>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</si>
  <si>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</si>
  <si>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</si>
  <si>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</si>
  <si>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</si>
  <si>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</si>
  <si>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</si>
  <si>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</si>
  <si>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</si>
  <si>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</si>
  <si>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</si>
  <si>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</si>
  <si>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</si>
  <si>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</si>
  <si>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</si>
  <si>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</si>
  <si>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</si>
  <si>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</si>
  <si>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</si>
  <si>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</si>
  <si>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</si>
  <si>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</si>
  <si>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</si>
  <si>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</si>
  <si>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</si>
  <si>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</si>
  <si>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</si>
  <si>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</si>
  <si>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</si>
  <si>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</si>
  <si>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</si>
  <si>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</si>
  <si>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</si>
  <si>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</si>
  <si>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</si>
  <si>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</si>
  <si>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</si>
  <si>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</si>
  <si>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</si>
  <si>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</si>
  <si>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</si>
  <si>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</si>
  <si>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</si>
  <si>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</si>
  <si>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</si>
  <si>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</si>
  <si>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</si>
  <si>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</si>
  <si>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</si>
  <si>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</si>
  <si>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</si>
  <si>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</si>
  <si>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</si>
  <si>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</si>
  <si>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</si>
  <si>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</si>
  <si>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</si>
  <si>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</si>
  <si>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</si>
  <si>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</si>
  <si>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</si>
  <si>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</si>
  <si>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</si>
  <si>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</si>
  <si>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</si>
  <si>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</si>
  <si>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</si>
  <si>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</si>
  <si>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</si>
  <si>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</si>
  <si>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</si>
  <si>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</si>
  <si>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</si>
  <si>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</si>
  <si>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</si>
  <si>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</si>
  <si>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</si>
  <si>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</si>
  <si>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</si>
  <si>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</si>
  <si>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</si>
  <si>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</si>
  <si>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</si>
  <si>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</si>
  <si>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</si>
  <si>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</si>
  <si>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</si>
  <si>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</si>
  <si>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</si>
  <si>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</si>
  <si>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PRENSESİN UYKUSU</t>
    </r>
    <r>
      <rPr>
        <sz val="10"/>
        <color indexed="10"/>
        <rFont val="Trebuchet MS"/>
        <family val="2"/>
      </rPr>
      <t xml:space="preserve"> </t>
    </r>
    <r>
      <rPr>
        <b/>
        <sz val="10"/>
        <color indexed="10"/>
        <rFont val="Trebuchet MS"/>
        <family val="2"/>
      </rPr>
      <t>(LOCAL)</t>
    </r>
  </si>
  <si>
    <t>BRIGHT STAR</t>
  </si>
  <si>
    <t>SANCTUM</t>
  </si>
  <si>
    <t>MEMLEKET MESELESİ (LOCAL)</t>
  </si>
  <si>
    <t>LA VERITABLE HISTOIRE DU CHAT BOTTE</t>
  </si>
  <si>
    <r>
      <t xml:space="preserve">HAYAT VAR </t>
    </r>
    <r>
      <rPr>
        <b/>
        <sz val="10"/>
        <color indexed="10"/>
        <rFont val="Trebuchet MS"/>
        <family val="2"/>
      </rPr>
      <t>(LOCAL)</t>
    </r>
  </si>
  <si>
    <t>INCEPTION</t>
  </si>
  <si>
    <t>RICKY</t>
  </si>
  <si>
    <t>R.E.D.</t>
  </si>
  <si>
    <t>THE RITE</t>
  </si>
  <si>
    <t>THE FIGHTER</t>
  </si>
  <si>
    <t>SECRETARIAT</t>
  </si>
  <si>
    <t>the GIRL WHO PLAYED WITH FIRE</t>
  </si>
  <si>
    <r>
      <t>ŞENLİKNAME: BİR İSTANBUL MASALI</t>
    </r>
    <r>
      <rPr>
        <b/>
        <sz val="10"/>
        <color indexed="10"/>
        <rFont val="Trebuchet MS"/>
        <family val="2"/>
      </rPr>
      <t xml:space="preserve"> (LOCAL)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</si>
  <si>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</si>
  <si>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</si>
  <si>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</si>
  <si>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</si>
  <si>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</si>
  <si>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</si>
  <si>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</si>
  <si>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</si>
  <si>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</si>
  <si>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</si>
  <si>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t>GREEN HORNET</t>
  </si>
  <si>
    <t>127 HOURS</t>
  </si>
  <si>
    <t>EDEN IS WEST</t>
  </si>
  <si>
    <t>THE WAVE</t>
  </si>
  <si>
    <t>UMUT SANAT</t>
  </si>
  <si>
    <r>
      <t>O KUL</t>
    </r>
    <r>
      <rPr>
        <b/>
        <sz val="10"/>
        <color indexed="10"/>
        <rFont val="Trebuchet MS"/>
        <family val="2"/>
      </rPr>
      <t xml:space="preserve"> (LOCAL)</t>
    </r>
  </si>
  <si>
    <t>IT'S A FREE WORLD</t>
  </si>
  <si>
    <t>M3 FILM</t>
  </si>
  <si>
    <t>BLACK SWAN</t>
  </si>
  <si>
    <t>THE NEXT THREE DAYS</t>
  </si>
  <si>
    <t>THE KING'S SPEECH</t>
  </si>
  <si>
    <t>TRUE GRIT</t>
  </si>
  <si>
    <r>
      <t>AŞKIN İKİNCİ YARISI</t>
    </r>
    <r>
      <rPr>
        <b/>
        <sz val="10"/>
        <color indexed="10"/>
        <rFont val="Trebuchet MS"/>
        <family val="2"/>
      </rPr>
      <t xml:space="preserve"> (LOCAL)</t>
    </r>
  </si>
  <si>
    <t>TRON: LEGACY</t>
  </si>
  <si>
    <t>OCEAN WORLD 3D</t>
  </si>
  <si>
    <t>GNOMES AND TROLLS: THE SECRET CHAMBER</t>
  </si>
  <si>
    <r>
      <t>MEMLEKETTE DEMOKRASİ VAR</t>
    </r>
    <r>
      <rPr>
        <b/>
        <sz val="10"/>
        <color indexed="10"/>
        <rFont val="Trebuchet MS"/>
        <family val="2"/>
      </rPr>
      <t xml:space="preserve"> (LOCAL)</t>
    </r>
  </si>
  <si>
    <t>EYYVAH EYVAH 2 (LOCAL)</t>
  </si>
  <si>
    <t>AŞK TESADÜFLERİ SEVER (LOCAL)</t>
  </si>
  <si>
    <t>KURTLAR VADİSİ FİLİSTİN (LOCAL)</t>
  </si>
  <si>
    <t>HÜR ADAM (LOCAL)</t>
  </si>
  <si>
    <t>YA SONRA (LOCAL)</t>
  </si>
  <si>
    <t>GÜNAH KEÇİSİ (LOCAL)</t>
  </si>
  <si>
    <t>ÇALGI ÇENGİ (LOCAL)</t>
  </si>
  <si>
    <t>KUKURİKU: KADIN KRALLIĞI (LOCAL)</t>
  </si>
  <si>
    <t>KAĞIT (LOCAL)</t>
  </si>
  <si>
    <t>HAYDE BRE (LOCAL)</t>
  </si>
  <si>
    <t>7 AVLU (LOCAL)</t>
  </si>
  <si>
    <t>WINTER'S BONE</t>
  </si>
  <si>
    <r>
      <t>120</t>
    </r>
    <r>
      <rPr>
        <b/>
        <sz val="10"/>
        <color indexed="10"/>
        <rFont val="Trebuchet MS"/>
        <family val="2"/>
      </rPr>
      <t xml:space="preserve"> (LOCAL)</t>
    </r>
  </si>
  <si>
    <r>
      <t>KOSMOS</t>
    </r>
    <r>
      <rPr>
        <b/>
        <sz val="10"/>
        <color indexed="10"/>
        <rFont val="Trebuchet MS"/>
        <family val="2"/>
      </rPr>
      <t xml:space="preserve"> (LOCAL)</t>
    </r>
  </si>
  <si>
    <t>THE SILENT ARMY</t>
  </si>
  <si>
    <r>
      <t xml:space="preserve">AŞK TESADÜFLERİ SEVER </t>
    </r>
    <r>
      <rPr>
        <b/>
        <sz val="10"/>
        <color indexed="10"/>
        <rFont val="Trebuchet MS"/>
        <family val="2"/>
      </rPr>
      <t>(LOCAL)</t>
    </r>
  </si>
  <si>
    <t>RANGO</t>
  </si>
  <si>
    <t>ANIMALS UNITED</t>
  </si>
  <si>
    <t>BİR AVUÇ DENİZ (LOCAL)</t>
  </si>
  <si>
    <t>SAKLI HAYATLAR (LOCAL)</t>
  </si>
  <si>
    <t>GÖLGELER VE SURETLER (LOCAL)</t>
  </si>
  <si>
    <t>KİR (LOCAL)</t>
  </si>
  <si>
    <t>THE STONING OF SORAYA M.</t>
  </si>
  <si>
    <t>THE DUST OF TIME</t>
  </si>
  <si>
    <t>TENGRI: BLUE HEAVENS</t>
  </si>
  <si>
    <t>COCO AVANT CHANEL</t>
  </si>
  <si>
    <t>CARAMEL</t>
  </si>
  <si>
    <t>ÇINAR AĞACI (LOCAL)</t>
  </si>
  <si>
    <t>LIMITLESS</t>
  </si>
  <si>
    <t>SINYORA ENRICA İLE İTALYAN OLMAK (LOCAL)</t>
  </si>
  <si>
    <t>BARNEY'S VERSION</t>
  </si>
  <si>
    <t>PRESS (LOCAL)</t>
  </si>
  <si>
    <t>YÜRÜGARİ İBRAM (LOCAL)</t>
  </si>
  <si>
    <t>TIGLON</t>
  </si>
  <si>
    <r>
      <t>AŞK GELİYORUM DEMEZ</t>
    </r>
    <r>
      <rPr>
        <b/>
        <sz val="10"/>
        <color indexed="10"/>
        <rFont val="Trebuchet MS"/>
        <family val="2"/>
      </rPr>
      <t xml:space="preserve"> (LOCAL)</t>
    </r>
  </si>
  <si>
    <t>DIE FREMDE (AYRILIK)</t>
  </si>
  <si>
    <t>THE MISFORTUNATES</t>
  </si>
  <si>
    <r>
      <t xml:space="preserve">GİTMEK </t>
    </r>
    <r>
      <rPr>
        <b/>
        <sz val="10"/>
        <color indexed="10"/>
        <rFont val="Trebuchet MS"/>
        <family val="2"/>
      </rPr>
      <t>(LOCAL)</t>
    </r>
  </si>
  <si>
    <t>KOLPAÇİNO: BOMBA (LOCAL)</t>
  </si>
  <si>
    <t>72. KOĞUŞ (LOCAL)</t>
  </si>
  <si>
    <t>KAYBEDENLER KULÜBÜ (LOCAL)</t>
  </si>
  <si>
    <t>İNCİR REÇELİ (LOCAL)</t>
  </si>
  <si>
    <t>JUST GO WITH IT</t>
  </si>
  <si>
    <t>I AM NUMBER FOUR</t>
  </si>
  <si>
    <t>BIG MOMMAS: LIKE FATHER, LIKE SON</t>
  </si>
  <si>
    <t>WE ARE WHAT WE ARE</t>
  </si>
  <si>
    <t>FOUR LIONS</t>
  </si>
  <si>
    <t>BATTLE: LA</t>
  </si>
  <si>
    <t>ONAY</t>
  </si>
  <si>
    <t>NAR FİLM</t>
  </si>
  <si>
    <t>STEP UP</t>
  </si>
  <si>
    <t>KUTSAL DAMACANA: DRACOOLA (LOCAL)</t>
  </si>
  <si>
    <t>RED RIDING HOOD</t>
  </si>
  <si>
    <t>ATLIKARINCA (LOCAL)</t>
  </si>
  <si>
    <t>CHERKESS</t>
  </si>
  <si>
    <t>THE GIRL WHO KICKED THE HORNETS' NEST</t>
  </si>
  <si>
    <t>MEŞ (LOCAL)</t>
  </si>
  <si>
    <t>20</t>
  </si>
  <si>
    <t>1</t>
  </si>
  <si>
    <t>ALVIN &amp; THE CHIPMUNKS 2</t>
  </si>
  <si>
    <t>THE KIDS ARE ALL RIGHT</t>
  </si>
  <si>
    <r>
      <t xml:space="preserve">ÇINAR AĞACI </t>
    </r>
    <r>
      <rPr>
        <b/>
        <sz val="10"/>
        <color indexed="10"/>
        <rFont val="Trebuchet MS"/>
        <family val="2"/>
      </rPr>
      <t>(LOCAL)</t>
    </r>
  </si>
  <si>
    <r>
      <t>SAKLI HAYATLAR</t>
    </r>
    <r>
      <rPr>
        <b/>
        <sz val="10"/>
        <color indexed="10"/>
        <rFont val="Trebuchet MS"/>
        <family val="2"/>
      </rPr>
      <t xml:space="preserve"> (LOCAL)</t>
    </r>
  </si>
  <si>
    <r>
      <t>PRESS</t>
    </r>
    <r>
      <rPr>
        <b/>
        <sz val="10"/>
        <color indexed="10"/>
        <rFont val="Trebuchet MS"/>
        <family val="2"/>
      </rPr>
      <t xml:space="preserve"> (LOCAL)</t>
    </r>
  </si>
  <si>
    <r>
      <t xml:space="preserve">MEŞ </t>
    </r>
    <r>
      <rPr>
        <b/>
        <sz val="10"/>
        <color indexed="10"/>
        <rFont val="Trebuchet MS"/>
        <family val="2"/>
      </rPr>
      <t>(LOCAL)</t>
    </r>
  </si>
  <si>
    <t>THE ADJUSTMENT BUREAU</t>
  </si>
  <si>
    <t>FRITT WILT 3</t>
  </si>
  <si>
    <t>EVERYTHING WILL BE FINE</t>
  </si>
  <si>
    <t>RIO</t>
  </si>
  <si>
    <t>LAST NIGHT</t>
  </si>
  <si>
    <t>SOURCE CODE</t>
  </si>
  <si>
    <r>
      <t>SCREAM 4</t>
    </r>
    <r>
      <rPr>
        <b/>
        <sz val="10"/>
        <color indexed="12"/>
        <rFont val="Trebuchet MS"/>
        <family val="2"/>
      </rPr>
      <t xml:space="preserve"> (NEW)</t>
    </r>
  </si>
  <si>
    <r>
      <t xml:space="preserve">KAYBEDENLER KULÜBÜ </t>
    </r>
    <r>
      <rPr>
        <b/>
        <sz val="10"/>
        <color indexed="10"/>
        <rFont val="Trebuchet MS"/>
        <family val="2"/>
      </rPr>
      <t>(LOCAL)</t>
    </r>
  </si>
  <si>
    <r>
      <t>KOLPAÇİNO: BOMBA</t>
    </r>
    <r>
      <rPr>
        <b/>
        <sz val="10"/>
        <color indexed="10"/>
        <rFont val="Trebuchet MS"/>
        <family val="2"/>
      </rPr>
      <t xml:space="preserve"> (LOCAL)</t>
    </r>
  </si>
  <si>
    <r>
      <t xml:space="preserve">WATER FOR ELEPHANTS </t>
    </r>
    <r>
      <rPr>
        <b/>
        <sz val="10"/>
        <color indexed="12"/>
        <rFont val="Trebuchet MS"/>
        <family val="2"/>
      </rPr>
      <t>(NEW)</t>
    </r>
  </si>
  <si>
    <r>
      <t xml:space="preserve">SUCKER PUNCH </t>
    </r>
    <r>
      <rPr>
        <b/>
        <sz val="10"/>
        <color indexed="12"/>
        <rFont val="Trebuchet MS"/>
        <family val="2"/>
      </rPr>
      <t>(NEW)</t>
    </r>
  </si>
  <si>
    <r>
      <t xml:space="preserve">WINNIE THE POOH </t>
    </r>
    <r>
      <rPr>
        <b/>
        <sz val="10"/>
        <color indexed="12"/>
        <rFont val="Trebuchet MS"/>
        <family val="2"/>
      </rPr>
      <t>(NEW)</t>
    </r>
  </si>
  <si>
    <r>
      <t>HOP DEDİK: DELİ DUMRUL</t>
    </r>
    <r>
      <rPr>
        <b/>
        <sz val="10"/>
        <color indexed="10"/>
        <rFont val="Trebuchet MS"/>
        <family val="2"/>
      </rPr>
      <t xml:space="preserve"> (LOCAL)</t>
    </r>
  </si>
  <si>
    <r>
      <t xml:space="preserve">BİZİM BÜYÜK ÇARESİZLİĞİMİZ </t>
    </r>
    <r>
      <rPr>
        <b/>
        <sz val="10"/>
        <color indexed="10"/>
        <rFont val="Trebuchet MS"/>
        <family val="2"/>
      </rPr>
      <t>(LOCAL)</t>
    </r>
    <r>
      <rPr>
        <b/>
        <sz val="10"/>
        <color indexed="12"/>
        <rFont val="Trebuchet MS"/>
        <family val="2"/>
      </rPr>
      <t xml:space="preserve"> (NEW)</t>
    </r>
  </si>
  <si>
    <r>
      <t>LONDON BOULEVARD</t>
    </r>
    <r>
      <rPr>
        <b/>
        <sz val="10"/>
        <color indexed="12"/>
        <rFont val="Trebuchet MS"/>
        <family val="2"/>
      </rPr>
      <t xml:space="preserve"> (NEW)</t>
    </r>
  </si>
  <si>
    <t>DRIVE ANGRY</t>
  </si>
  <si>
    <t>2</t>
  </si>
  <si>
    <r>
      <t xml:space="preserve">YA SONRA </t>
    </r>
    <r>
      <rPr>
        <b/>
        <sz val="10"/>
        <color indexed="10"/>
        <rFont val="Trebuchet MS"/>
        <family val="2"/>
      </rPr>
      <t>(LOCAL)</t>
    </r>
  </si>
  <si>
    <t>THE LINCOLN LAWYER</t>
  </si>
  <si>
    <r>
      <t>BİR AVUÇ DENİZ</t>
    </r>
    <r>
      <rPr>
        <sz val="10"/>
        <color indexed="10"/>
        <rFont val="Trebuchet MS"/>
        <family val="2"/>
      </rPr>
      <t xml:space="preserve"> </t>
    </r>
    <r>
      <rPr>
        <b/>
        <sz val="10"/>
        <color indexed="10"/>
        <rFont val="Trebuchet MS"/>
        <family val="2"/>
      </rPr>
      <t>(LOCAL)</t>
    </r>
  </si>
  <si>
    <r>
      <t>ATLIKARINCA</t>
    </r>
    <r>
      <rPr>
        <b/>
        <sz val="10"/>
        <color indexed="10"/>
        <rFont val="Trebuchet MS"/>
        <family val="2"/>
      </rPr>
      <t xml:space="preserve"> (LOCAL)</t>
    </r>
  </si>
  <si>
    <t>NO STRINGS ATTACHED</t>
  </si>
  <si>
    <r>
      <t xml:space="preserve">72. KOĞUŞ </t>
    </r>
    <r>
      <rPr>
        <b/>
        <sz val="10"/>
        <color indexed="10"/>
        <rFont val="Trebuchet MS"/>
        <family val="2"/>
      </rPr>
      <t>(LOCAL)</t>
    </r>
  </si>
  <si>
    <r>
      <t xml:space="preserve">HÜR ADAM </t>
    </r>
    <r>
      <rPr>
        <b/>
        <sz val="10"/>
        <color indexed="10"/>
        <rFont val="Trebuchet MS"/>
        <family val="2"/>
      </rPr>
      <t>(LOCAL)</t>
    </r>
  </si>
  <si>
    <r>
      <t xml:space="preserve">KURTLAR VADİSİ FİLİSTİN </t>
    </r>
    <r>
      <rPr>
        <b/>
        <sz val="10"/>
        <color indexed="10"/>
        <rFont val="Trebuchet MS"/>
        <family val="2"/>
      </rPr>
      <t>(LOCAL)</t>
    </r>
  </si>
  <si>
    <r>
      <t>GÖLGELER VE SURETLER</t>
    </r>
    <r>
      <rPr>
        <sz val="10"/>
        <color indexed="10"/>
        <rFont val="Trebuchet MS"/>
        <family val="2"/>
      </rPr>
      <t xml:space="preserve"> </t>
    </r>
    <r>
      <rPr>
        <b/>
        <sz val="10"/>
        <color indexed="10"/>
        <rFont val="Trebuchet MS"/>
        <family val="2"/>
      </rPr>
      <t>(LOCAL)</t>
    </r>
  </si>
  <si>
    <r>
      <t>İNCİR REÇELİ</t>
    </r>
    <r>
      <rPr>
        <b/>
        <sz val="10"/>
        <color indexed="10"/>
        <rFont val="Trebuchet MS"/>
        <family val="2"/>
      </rPr>
      <t xml:space="preserve"> (LOCAL)</t>
    </r>
  </si>
  <si>
    <r>
      <t>EYYVAH EYVAH 2</t>
    </r>
    <r>
      <rPr>
        <sz val="10"/>
        <color indexed="10"/>
        <rFont val="Trebuchet MS"/>
        <family val="2"/>
      </rPr>
      <t xml:space="preserve"> </t>
    </r>
    <r>
      <rPr>
        <b/>
        <sz val="10"/>
        <color indexed="10"/>
        <rFont val="Trebuchet MS"/>
        <family val="2"/>
      </rPr>
      <t>(LOCAL)</t>
    </r>
  </si>
  <si>
    <r>
      <t>NOKTA</t>
    </r>
    <r>
      <rPr>
        <b/>
        <sz val="10"/>
        <color indexed="10"/>
        <rFont val="Trebuchet MS"/>
        <family val="2"/>
      </rPr>
      <t xml:space="preserve"> (LOCAL)</t>
    </r>
  </si>
  <si>
    <t>LOVE&amp;OTHER DRUGS</t>
  </si>
  <si>
    <t>16</t>
  </si>
  <si>
    <t>HOP DEDİK: DELİ DUMRUL (LOCAL)</t>
  </si>
  <si>
    <t>SCREAM 4</t>
  </si>
  <si>
    <t>WATER FOR ELEPHANTS</t>
  </si>
  <si>
    <t>SUCKER PUNCH</t>
  </si>
  <si>
    <t>WINNIE THE POOH</t>
  </si>
  <si>
    <t>BİZİM BÜYÜK ÇARESİZLİĞİMİZ (LOCAL)</t>
  </si>
  <si>
    <t>LONDON BOULEVARD</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</si>
</sst>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107">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1"/>
      <color indexed="8"/>
      <name val="Calibri"/>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9"/>
      <name val="Calibri"/>
      <family val="2"/>
    </font>
    <font>
      <sz val="11"/>
      <color indexed="20"/>
      <name val="Calibri"/>
      <family val="2"/>
    </font>
    <font>
      <sz val="10"/>
      <name val="Arial Tur"/>
      <family val="0"/>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b/>
      <sz val="10"/>
      <color indexed="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9"/>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medium"/>
      <top style="hair"/>
      <bottom style="hair"/>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color indexed="63"/>
      </right>
      <top style="hair"/>
      <bottom style="thin">
        <color indexed="10"/>
      </bottom>
    </border>
    <border>
      <left>
        <color indexed="63"/>
      </left>
      <right>
        <color indexed="63"/>
      </right>
      <top>
        <color indexed="63"/>
      </top>
      <bottom style="thin">
        <color indexed="10"/>
      </bottom>
    </border>
    <border>
      <left style="hair"/>
      <right style="medium"/>
      <top style="medium"/>
      <bottom style="hair"/>
    </border>
    <border>
      <left>
        <color indexed="63"/>
      </left>
      <right style="hair"/>
      <top style="hair"/>
      <bottom>
        <color indexed="63"/>
      </bottom>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medium"/>
      <right style="hair"/>
      <top style="hair"/>
      <bottom style="thin">
        <color indexed="10"/>
      </bottom>
    </border>
    <border>
      <left style="hair"/>
      <right style="hair"/>
      <top style="hair"/>
      <bottom style="thin">
        <color indexed="10"/>
      </bottom>
    </border>
    <border>
      <left style="hair"/>
      <right style="medium"/>
      <top style="hair"/>
      <bottom style="thin">
        <color indexed="10"/>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121">
    <xf numFmtId="0" fontId="0" fillId="0" borderId="0">
      <alignment/>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55" fillId="30"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7"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56" fillId="21" borderId="0" applyNumberFormat="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38" borderId="5" applyNumberFormat="0" applyAlignment="0" applyProtection="0"/>
    <xf numFmtId="0" fontId="59" fillId="39" borderId="6" applyNumberFormat="0" applyAlignment="0" applyProtection="0"/>
    <xf numFmtId="43" fontId="0" fillId="0" borderId="0" applyFont="0" applyFill="0" applyBorder="0" applyAlignment="0" applyProtection="0"/>
    <xf numFmtId="0" fontId="98" fillId="40" borderId="7" applyNumberFormat="0" applyAlignment="0" applyProtection="0"/>
    <xf numFmtId="0" fontId="60" fillId="0" borderId="0" applyNumberFormat="0" applyFill="0" applyBorder="0" applyAlignment="0" applyProtection="0"/>
    <xf numFmtId="0" fontId="99" fillId="41" borderId="8" applyNumberFormat="0" applyAlignment="0" applyProtection="0"/>
    <xf numFmtId="0" fontId="61" fillId="22" borderId="0" applyNumberFormat="0" applyBorder="0" applyAlignment="0" applyProtection="0"/>
    <xf numFmtId="0" fontId="62" fillId="0" borderId="9" applyNumberFormat="0" applyFill="0" applyAlignment="0" applyProtection="0"/>
    <xf numFmtId="0" fontId="63" fillId="0" borderId="10"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100" fillId="40" borderId="8" applyNumberFormat="0" applyAlignment="0" applyProtection="0"/>
    <xf numFmtId="0" fontId="65" fillId="25" borderId="5" applyNumberFormat="0" applyAlignment="0" applyProtection="0"/>
    <xf numFmtId="0" fontId="101" fillId="42" borderId="12" applyNumberFormat="0" applyAlignment="0" applyProtection="0"/>
    <xf numFmtId="0" fontId="102" fillId="4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3" fillId="44" borderId="0" applyNumberFormat="0" applyBorder="0" applyAlignment="0" applyProtection="0"/>
    <xf numFmtId="0" fontId="66" fillId="0" borderId="13" applyNumberFormat="0" applyFill="0" applyAlignment="0" applyProtection="0"/>
    <xf numFmtId="0" fontId="67" fillId="45"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31" fillId="0" borderId="0">
      <alignment/>
      <protection/>
    </xf>
    <xf numFmtId="0" fontId="31" fillId="0" borderId="0">
      <alignment/>
      <protection/>
    </xf>
    <xf numFmtId="0" fontId="0" fillId="46" borderId="14" applyNumberFormat="0" applyFont="0" applyAlignment="0" applyProtection="0"/>
    <xf numFmtId="0" fontId="31" fillId="47" borderId="15" applyNumberFormat="0" applyFont="0" applyAlignment="0" applyProtection="0"/>
    <xf numFmtId="0" fontId="104" fillId="48" borderId="0" applyNumberFormat="0" applyBorder="0" applyAlignment="0" applyProtection="0"/>
    <xf numFmtId="0" fontId="68" fillId="38" borderId="1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9" fontId="57" fillId="0" borderId="0" applyFont="0" applyFill="0" applyBorder="0" applyAlignment="0" applyProtection="0"/>
    <xf numFmtId="0" fontId="69" fillId="0" borderId="0" applyNumberFormat="0" applyFill="0" applyBorder="0" applyAlignment="0" applyProtection="0"/>
    <xf numFmtId="0" fontId="105" fillId="0" borderId="17" applyNumberFormat="0" applyFill="0" applyAlignment="0" applyProtection="0"/>
    <xf numFmtId="0" fontId="70" fillId="0" borderId="18" applyNumberFormat="0" applyFill="0" applyAlignment="0" applyProtection="0"/>
    <xf numFmtId="0" fontId="106" fillId="0" borderId="0" applyNumberFormat="0" applyFill="0" applyBorder="0" applyAlignment="0" applyProtection="0"/>
    <xf numFmtId="0" fontId="91" fillId="49" borderId="0" applyNumberFormat="0" applyBorder="0" applyAlignment="0" applyProtection="0"/>
    <xf numFmtId="0" fontId="91" fillId="50" borderId="0" applyNumberFormat="0" applyBorder="0" applyAlignment="0" applyProtection="0"/>
    <xf numFmtId="0" fontId="91"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71" fillId="0" borderId="0" applyNumberFormat="0" applyFill="0" applyBorder="0" applyAlignment="0" applyProtection="0"/>
    <xf numFmtId="9" fontId="0" fillId="0" borderId="0" applyFont="0" applyFill="0" applyBorder="0" applyAlignment="0" applyProtection="0"/>
  </cellStyleXfs>
  <cellXfs count="626">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55" borderId="19" xfId="0" applyNumberFormat="1" applyFont="1" applyFill="1" applyBorder="1" applyAlignment="1">
      <alignment horizontal="center" vertical="center"/>
    </xf>
    <xf numFmtId="0" fontId="8" fillId="55" borderId="19" xfId="0" applyFont="1" applyFill="1" applyBorder="1" applyAlignment="1">
      <alignment horizontal="left" vertical="center"/>
    </xf>
    <xf numFmtId="200" fontId="17" fillId="55" borderId="19" xfId="0" applyNumberFormat="1" applyFont="1" applyFill="1" applyBorder="1" applyAlignment="1">
      <alignment horizontal="right" vertical="center"/>
    </xf>
    <xf numFmtId="193" fontId="17" fillId="55" borderId="19"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55" borderId="19" xfId="0" applyNumberFormat="1" applyFont="1" applyFill="1" applyBorder="1" applyAlignment="1">
      <alignment horizontal="right" vertical="center"/>
    </xf>
    <xf numFmtId="192" fontId="28" fillId="55" borderId="19" xfId="0" applyNumberFormat="1" applyFont="1" applyFill="1" applyBorder="1" applyAlignment="1">
      <alignment horizontal="right" vertical="center"/>
    </xf>
    <xf numFmtId="200" fontId="28" fillId="55" borderId="19" xfId="0" applyNumberFormat="1" applyFont="1" applyFill="1" applyBorder="1" applyAlignment="1">
      <alignment horizontal="right" vertical="center"/>
    </xf>
    <xf numFmtId="193" fontId="28" fillId="55" borderId="19"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55" borderId="19" xfId="0" applyFont="1" applyFill="1" applyBorder="1" applyAlignment="1">
      <alignment horizontal="right" vertical="center"/>
    </xf>
    <xf numFmtId="3" fontId="24" fillId="55" borderId="19" xfId="0" applyNumberFormat="1" applyFont="1" applyFill="1" applyBorder="1" applyAlignment="1">
      <alignment horizontal="right" vertical="center"/>
    </xf>
    <xf numFmtId="0" fontId="14" fillId="0" borderId="20" xfId="0" applyFont="1" applyBorder="1" applyAlignment="1">
      <alignment horizontal="right" vertical="center"/>
    </xf>
    <xf numFmtId="0" fontId="23" fillId="0" borderId="20" xfId="0" applyFont="1" applyFill="1" applyBorder="1" applyAlignment="1" applyProtection="1">
      <alignment vertical="center"/>
      <protection locked="0"/>
    </xf>
    <xf numFmtId="184" fontId="6" fillId="0" borderId="20"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protection locked="0"/>
    </xf>
    <xf numFmtId="0" fontId="14" fillId="0" borderId="20" xfId="0" applyNumberFormat="1" applyFont="1" applyFill="1" applyBorder="1" applyAlignment="1" applyProtection="1">
      <alignment horizontal="right" vertical="center"/>
      <protection locked="0"/>
    </xf>
    <xf numFmtId="200" fontId="18" fillId="0" borderId="20" xfId="0" applyNumberFormat="1" applyFont="1" applyFill="1" applyBorder="1" applyAlignment="1" applyProtection="1">
      <alignment horizontal="right" vertical="center"/>
      <protection locked="0"/>
    </xf>
    <xf numFmtId="193" fontId="15" fillId="0" borderId="20" xfId="0" applyNumberFormat="1" applyFont="1" applyFill="1" applyBorder="1" applyAlignment="1" applyProtection="1">
      <alignment horizontal="right" vertical="center"/>
      <protection locked="0"/>
    </xf>
    <xf numFmtId="193" fontId="25" fillId="0" borderId="20" xfId="0" applyNumberFormat="1" applyFont="1" applyFill="1" applyBorder="1" applyAlignment="1" applyProtection="1">
      <alignment horizontal="right" vertical="center"/>
      <protection locked="0"/>
    </xf>
    <xf numFmtId="192" fontId="26" fillId="0" borderId="20" xfId="0" applyNumberFormat="1" applyFont="1" applyFill="1" applyBorder="1" applyAlignment="1" applyProtection="1">
      <alignment horizontal="right" vertical="center"/>
      <protection locked="0"/>
    </xf>
    <xf numFmtId="200" fontId="26" fillId="0" borderId="20" xfId="65" applyNumberFormat="1" applyFont="1" applyFill="1" applyBorder="1" applyAlignment="1" applyProtection="1">
      <alignment horizontal="right" vertical="center"/>
      <protection/>
    </xf>
    <xf numFmtId="193" fontId="26" fillId="0" borderId="20" xfId="0" applyNumberFormat="1" applyFont="1" applyFill="1" applyBorder="1" applyAlignment="1" applyProtection="1">
      <alignment horizontal="right" vertical="center"/>
      <protection locked="0"/>
    </xf>
    <xf numFmtId="0" fontId="22" fillId="0" borderId="20" xfId="0" applyFont="1" applyBorder="1" applyAlignment="1">
      <alignment vertical="center" readingOrder="1"/>
    </xf>
    <xf numFmtId="184" fontId="0" fillId="0" borderId="20" xfId="0" applyNumberFormat="1" applyBorder="1" applyAlignment="1">
      <alignment horizontal="center" vertical="center"/>
    </xf>
    <xf numFmtId="0" fontId="0" fillId="0" borderId="20" xfId="0" applyBorder="1" applyAlignment="1">
      <alignment horizontal="left" vertical="center"/>
    </xf>
    <xf numFmtId="200" fontId="12" fillId="0" borderId="20" xfId="0" applyNumberFormat="1" applyFont="1" applyBorder="1" applyAlignment="1">
      <alignment horizontal="right" vertical="center"/>
    </xf>
    <xf numFmtId="193" fontId="12" fillId="0" borderId="20" xfId="0" applyNumberFormat="1" applyFont="1" applyBorder="1" applyAlignment="1">
      <alignment horizontal="right" vertical="center"/>
    </xf>
    <xf numFmtId="193" fontId="25" fillId="0" borderId="20" xfId="0" applyNumberFormat="1" applyFont="1" applyBorder="1" applyAlignment="1">
      <alignment horizontal="right" vertical="center"/>
    </xf>
    <xf numFmtId="192" fontId="26" fillId="0" borderId="20" xfId="0" applyNumberFormat="1" applyFont="1" applyBorder="1" applyAlignment="1">
      <alignment horizontal="right" vertical="center"/>
    </xf>
    <xf numFmtId="200" fontId="26" fillId="0" borderId="20" xfId="0" applyNumberFormat="1" applyFont="1" applyBorder="1" applyAlignment="1">
      <alignment horizontal="right" vertical="center"/>
    </xf>
    <xf numFmtId="193" fontId="26" fillId="0" borderId="20" xfId="0" applyNumberFormat="1" applyFont="1" applyBorder="1" applyAlignment="1">
      <alignment horizontal="right" vertical="center"/>
    </xf>
    <xf numFmtId="200" fontId="16" fillId="0" borderId="20" xfId="0" applyNumberFormat="1" applyFont="1" applyFill="1" applyBorder="1" applyAlignment="1" applyProtection="1">
      <alignment horizontal="right" vertical="center"/>
      <protection locked="0"/>
    </xf>
    <xf numFmtId="193" fontId="19" fillId="0" borderId="20" xfId="0" applyNumberFormat="1" applyFont="1" applyFill="1" applyBorder="1" applyAlignment="1" applyProtection="1">
      <alignment horizontal="right" vertical="center"/>
      <protection locked="0"/>
    </xf>
    <xf numFmtId="200" fontId="26" fillId="0" borderId="20" xfId="0" applyNumberFormat="1" applyFont="1" applyFill="1" applyBorder="1" applyAlignment="1" applyProtection="1">
      <alignment horizontal="right" vertical="center"/>
      <protection locked="0"/>
    </xf>
    <xf numFmtId="0" fontId="21" fillId="0" borderId="20" xfId="0" applyFont="1" applyFill="1" applyBorder="1" applyAlignment="1" applyProtection="1">
      <alignment vertical="center"/>
      <protection locked="0"/>
    </xf>
    <xf numFmtId="184" fontId="5" fillId="0" borderId="2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43" fontId="21" fillId="0" borderId="21" xfId="65" applyFont="1" applyFill="1" applyBorder="1" applyAlignment="1" applyProtection="1">
      <alignment vertical="center"/>
      <protection/>
    </xf>
    <xf numFmtId="184" fontId="3" fillId="0" borderId="21"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protection/>
    </xf>
    <xf numFmtId="0" fontId="14" fillId="0" borderId="21" xfId="0" applyNumberFormat="1" applyFont="1" applyFill="1" applyBorder="1" applyAlignment="1" applyProtection="1">
      <alignment horizontal="right" vertical="center"/>
      <protection/>
    </xf>
    <xf numFmtId="200" fontId="16" fillId="0" borderId="21" xfId="0" applyNumberFormat="1" applyFont="1" applyFill="1" applyBorder="1" applyAlignment="1" applyProtection="1">
      <alignment horizontal="right" vertical="center"/>
      <protection/>
    </xf>
    <xf numFmtId="193" fontId="19" fillId="0" borderId="21" xfId="0" applyNumberFormat="1" applyFont="1" applyFill="1" applyBorder="1" applyAlignment="1" applyProtection="1">
      <alignment horizontal="right" vertical="center"/>
      <protection/>
    </xf>
    <xf numFmtId="193" fontId="25" fillId="0" borderId="21" xfId="0" applyNumberFormat="1" applyFont="1" applyFill="1" applyBorder="1" applyAlignment="1" applyProtection="1">
      <alignment horizontal="right" vertical="center"/>
      <protection/>
    </xf>
    <xf numFmtId="192" fontId="26" fillId="0" borderId="21" xfId="0" applyNumberFormat="1" applyFont="1" applyFill="1" applyBorder="1" applyAlignment="1" applyProtection="1">
      <alignment horizontal="right" vertical="center"/>
      <protection/>
    </xf>
    <xf numFmtId="200" fontId="26" fillId="0" borderId="21" xfId="0" applyNumberFormat="1" applyFont="1" applyFill="1" applyBorder="1" applyAlignment="1" applyProtection="1">
      <alignment horizontal="right" vertical="center"/>
      <protection/>
    </xf>
    <xf numFmtId="193" fontId="26" fillId="0" borderId="21" xfId="0" applyNumberFormat="1" applyFont="1" applyFill="1" applyBorder="1" applyAlignment="1" applyProtection="1">
      <alignment horizontal="right" vertical="center"/>
      <protection/>
    </xf>
    <xf numFmtId="192" fontId="26" fillId="0" borderId="22" xfId="0" applyNumberFormat="1" applyFont="1" applyFill="1" applyBorder="1" applyAlignment="1" applyProtection="1">
      <alignment horizontal="right" vertical="center"/>
      <protection/>
    </xf>
    <xf numFmtId="192" fontId="28" fillId="55" borderId="23" xfId="0" applyNumberFormat="1" applyFont="1" applyFill="1" applyBorder="1" applyAlignment="1">
      <alignment horizontal="right" vertical="center"/>
    </xf>
    <xf numFmtId="192" fontId="26" fillId="0" borderId="24"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2"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0" fillId="0" borderId="20" xfId="0" applyBorder="1" applyAlignment="1">
      <alignment/>
    </xf>
    <xf numFmtId="4" fontId="0" fillId="0" borderId="20" xfId="0" applyNumberFormat="1" applyBorder="1" applyAlignment="1">
      <alignment vertical="center"/>
    </xf>
    <xf numFmtId="3" fontId="0" fillId="0" borderId="20" xfId="0" applyNumberFormat="1" applyBorder="1" applyAlignment="1">
      <alignment vertical="center"/>
    </xf>
    <xf numFmtId="0" fontId="0" fillId="0" borderId="20" xfId="0" applyBorder="1" applyAlignment="1">
      <alignment vertical="center"/>
    </xf>
    <xf numFmtId="0" fontId="10" fillId="0" borderId="20" xfId="0" applyFont="1" applyBorder="1" applyAlignment="1">
      <alignment horizontal="center" vertical="center"/>
    </xf>
    <xf numFmtId="193" fontId="12" fillId="0" borderId="20" xfId="0" applyNumberFormat="1" applyFont="1" applyBorder="1" applyAlignment="1">
      <alignment horizontal="right" vertical="center" indent="1"/>
    </xf>
    <xf numFmtId="0" fontId="35" fillId="0" borderId="20" xfId="0" applyFont="1" applyBorder="1" applyAlignment="1">
      <alignment horizontal="right" vertical="center"/>
    </xf>
    <xf numFmtId="1" fontId="25" fillId="0" borderId="25" xfId="0" applyNumberFormat="1" applyFont="1" applyFill="1" applyBorder="1" applyAlignment="1" applyProtection="1">
      <alignment horizontal="right" vertical="center"/>
      <protection/>
    </xf>
    <xf numFmtId="1" fontId="25" fillId="0" borderId="20" xfId="0" applyNumberFormat="1" applyFont="1" applyFill="1" applyBorder="1" applyAlignment="1" applyProtection="1">
      <alignment horizontal="right" vertical="center"/>
      <protection locked="0"/>
    </xf>
    <xf numFmtId="0" fontId="0" fillId="0" borderId="19" xfId="0" applyBorder="1" applyAlignment="1">
      <alignment vertical="center"/>
    </xf>
    <xf numFmtId="0" fontId="10" fillId="0" borderId="19" xfId="0" applyFont="1" applyBorder="1" applyAlignment="1">
      <alignment horizontal="center" vertical="center"/>
    </xf>
    <xf numFmtId="200" fontId="12" fillId="0" borderId="19" xfId="0" applyNumberFormat="1" applyFont="1" applyBorder="1" applyAlignment="1">
      <alignment horizontal="right" vertical="center"/>
    </xf>
    <xf numFmtId="193" fontId="12" fillId="0" borderId="19" xfId="0" applyNumberFormat="1" applyFont="1" applyBorder="1" applyAlignment="1">
      <alignment horizontal="right" vertical="center" indent="1"/>
    </xf>
    <xf numFmtId="0" fontId="12" fillId="0" borderId="0" xfId="0" applyFont="1" applyAlignment="1">
      <alignment/>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 fontId="39" fillId="0" borderId="26" xfId="0" applyNumberFormat="1" applyFont="1" applyFill="1" applyBorder="1" applyAlignment="1" applyProtection="1">
      <alignment horizontal="center" wrapText="1"/>
      <protection/>
    </xf>
    <xf numFmtId="0" fontId="40" fillId="0" borderId="0" xfId="0" applyFont="1" applyFill="1" applyBorder="1" applyAlignment="1" applyProtection="1">
      <alignment horizontal="center" wrapText="1"/>
      <protection locked="0"/>
    </xf>
    <xf numFmtId="0" fontId="39" fillId="0" borderId="0" xfId="0" applyFont="1" applyFill="1" applyBorder="1" applyAlignment="1" applyProtection="1">
      <alignment horizontal="center" wrapText="1"/>
      <protection locked="0"/>
    </xf>
    <xf numFmtId="1" fontId="40" fillId="0" borderId="27" xfId="0" applyNumberFormat="1" applyFont="1" applyFill="1" applyBorder="1" applyAlignment="1" applyProtection="1">
      <alignment horizontal="center" wrapText="1"/>
      <protection/>
    </xf>
    <xf numFmtId="200" fontId="39" fillId="0" borderId="28" xfId="0" applyNumberFormat="1" applyFont="1" applyFill="1" applyBorder="1" applyAlignment="1" applyProtection="1">
      <alignment horizontal="center" wrapText="1"/>
      <protection/>
    </xf>
    <xf numFmtId="193" fontId="39" fillId="0" borderId="28" xfId="0" applyNumberFormat="1" applyFont="1" applyFill="1" applyBorder="1" applyAlignment="1" applyProtection="1">
      <alignment horizontal="center" wrapText="1"/>
      <protection/>
    </xf>
    <xf numFmtId="192" fontId="39" fillId="0" borderId="28" xfId="0" applyNumberFormat="1" applyFont="1" applyFill="1" applyBorder="1" applyAlignment="1" applyProtection="1">
      <alignment horizontal="center" wrapText="1"/>
      <protection/>
    </xf>
    <xf numFmtId="192" fontId="39" fillId="0" borderId="29" xfId="0" applyNumberFormat="1" applyFont="1" applyFill="1" applyBorder="1" applyAlignment="1" applyProtection="1">
      <alignment horizontal="center" wrapText="1"/>
      <protection/>
    </xf>
    <xf numFmtId="0" fontId="39" fillId="0" borderId="27" xfId="0" applyFont="1" applyBorder="1" applyAlignment="1" applyProtection="1">
      <alignment vertical="center"/>
      <protection locked="0"/>
    </xf>
    <xf numFmtId="0" fontId="39" fillId="0" borderId="30" xfId="0" applyFont="1" applyBorder="1" applyAlignment="1" applyProtection="1">
      <alignment vertical="center"/>
      <protection locked="0"/>
    </xf>
    <xf numFmtId="1" fontId="25" fillId="0" borderId="31" xfId="0" applyNumberFormat="1" applyFont="1" applyFill="1" applyBorder="1" applyAlignment="1" applyProtection="1">
      <alignment horizontal="right" vertical="center"/>
      <protection/>
    </xf>
    <xf numFmtId="43" fontId="21" fillId="0" borderId="32" xfId="65" applyFont="1" applyFill="1" applyBorder="1" applyAlignment="1" applyProtection="1">
      <alignment vertical="center"/>
      <protection/>
    </xf>
    <xf numFmtId="184" fontId="3" fillId="0" borderId="32" xfId="0" applyNumberFormat="1" applyFont="1" applyFill="1" applyBorder="1" applyAlignment="1" applyProtection="1">
      <alignment horizontal="center" vertical="center"/>
      <protection/>
    </xf>
    <xf numFmtId="0" fontId="3" fillId="0" borderId="32" xfId="0" applyFont="1" applyFill="1" applyBorder="1" applyAlignment="1" applyProtection="1">
      <alignment horizontal="left" vertical="center"/>
      <protection/>
    </xf>
    <xf numFmtId="0" fontId="14" fillId="0" borderId="32" xfId="0" applyNumberFormat="1" applyFont="1" applyFill="1" applyBorder="1" applyAlignment="1" applyProtection="1">
      <alignment horizontal="right" vertical="center"/>
      <protection/>
    </xf>
    <xf numFmtId="200" fontId="16" fillId="0" borderId="32" xfId="0" applyNumberFormat="1" applyFont="1" applyFill="1" applyBorder="1" applyAlignment="1" applyProtection="1">
      <alignment horizontal="right" vertical="center"/>
      <protection/>
    </xf>
    <xf numFmtId="193" fontId="19" fillId="0" borderId="32" xfId="0" applyNumberFormat="1" applyFont="1" applyFill="1" applyBorder="1" applyAlignment="1" applyProtection="1">
      <alignment horizontal="right" vertical="center"/>
      <protection/>
    </xf>
    <xf numFmtId="193" fontId="25" fillId="0" borderId="32" xfId="0" applyNumberFormat="1" applyFont="1" applyFill="1" applyBorder="1" applyAlignment="1" applyProtection="1">
      <alignment horizontal="right" vertical="center"/>
      <protection/>
    </xf>
    <xf numFmtId="192" fontId="26" fillId="0" borderId="32" xfId="0" applyNumberFormat="1" applyFont="1" applyFill="1" applyBorder="1" applyAlignment="1" applyProtection="1">
      <alignment horizontal="right" vertical="center"/>
      <protection/>
    </xf>
    <xf numFmtId="200" fontId="26" fillId="0" borderId="32" xfId="0" applyNumberFormat="1" applyFont="1" applyFill="1" applyBorder="1" applyAlignment="1" applyProtection="1">
      <alignment horizontal="right" vertical="center"/>
      <protection/>
    </xf>
    <xf numFmtId="193" fontId="26" fillId="0" borderId="32" xfId="0" applyNumberFormat="1" applyFont="1" applyFill="1" applyBorder="1" applyAlignment="1" applyProtection="1">
      <alignment horizontal="right" vertical="center"/>
      <protection/>
    </xf>
    <xf numFmtId="192" fontId="26" fillId="0" borderId="33" xfId="0" applyNumberFormat="1" applyFont="1" applyFill="1" applyBorder="1" applyAlignment="1" applyProtection="1">
      <alignment horizontal="right" vertical="center"/>
      <protection/>
    </xf>
    <xf numFmtId="0" fontId="37" fillId="0" borderId="0" xfId="0" applyFont="1" applyBorder="1" applyAlignment="1">
      <alignment horizontal="center"/>
    </xf>
    <xf numFmtId="0" fontId="39" fillId="0" borderId="0" xfId="0" applyFont="1" applyFill="1" applyBorder="1" applyAlignment="1">
      <alignment horizontal="right" vertical="center"/>
    </xf>
    <xf numFmtId="0" fontId="39" fillId="0" borderId="30" xfId="0" applyFont="1" applyFill="1" applyBorder="1" applyAlignment="1">
      <alignment horizontal="center"/>
    </xf>
    <xf numFmtId="4" fontId="39" fillId="0" borderId="19" xfId="0" applyNumberFormat="1" applyFont="1" applyFill="1" applyBorder="1" applyAlignment="1">
      <alignment horizontal="center"/>
    </xf>
    <xf numFmtId="3" fontId="39" fillId="0" borderId="19" xfId="0" applyNumberFormat="1" applyFont="1" applyFill="1" applyBorder="1" applyAlignment="1">
      <alignment horizontal="center"/>
    </xf>
    <xf numFmtId="0" fontId="39" fillId="0" borderId="19" xfId="0" applyFont="1" applyFill="1" applyBorder="1" applyAlignment="1">
      <alignment horizontal="center"/>
    </xf>
    <xf numFmtId="0" fontId="40" fillId="0" borderId="34" xfId="0" applyFont="1" applyFill="1" applyBorder="1" applyAlignment="1">
      <alignment horizontal="center"/>
    </xf>
    <xf numFmtId="4" fontId="39" fillId="0" borderId="20" xfId="0" applyNumberFormat="1" applyFont="1" applyFill="1" applyBorder="1" applyAlignment="1">
      <alignment horizontal="center"/>
    </xf>
    <xf numFmtId="3" fontId="39" fillId="0" borderId="20" xfId="0" applyNumberFormat="1" applyFont="1" applyFill="1" applyBorder="1" applyAlignment="1">
      <alignment horizontal="center"/>
    </xf>
    <xf numFmtId="0" fontId="39" fillId="0" borderId="20" xfId="0" applyFont="1" applyFill="1" applyBorder="1" applyAlignment="1">
      <alignment horizontal="center"/>
    </xf>
    <xf numFmtId="1" fontId="39" fillId="0" borderId="35" xfId="0" applyNumberFormat="1" applyFont="1" applyFill="1" applyBorder="1" applyAlignment="1" applyProtection="1">
      <alignment horizontal="center" wrapText="1"/>
      <protection/>
    </xf>
    <xf numFmtId="1" fontId="40" fillId="0" borderId="36" xfId="0" applyNumberFormat="1" applyFont="1" applyFill="1" applyBorder="1" applyAlignment="1" applyProtection="1">
      <alignment horizontal="center" wrapText="1"/>
      <protection/>
    </xf>
    <xf numFmtId="0" fontId="43" fillId="0" borderId="20" xfId="0" applyFont="1" applyFill="1" applyBorder="1" applyAlignment="1" applyProtection="1">
      <alignment horizontal="center" vertical="center"/>
      <protection/>
    </xf>
    <xf numFmtId="0" fontId="44" fillId="0" borderId="20" xfId="0" applyFont="1" applyFill="1" applyBorder="1" applyAlignment="1" applyProtection="1">
      <alignment horizontal="left" vertical="center"/>
      <protection/>
    </xf>
    <xf numFmtId="0" fontId="45" fillId="0" borderId="20" xfId="0" applyFont="1" applyBorder="1" applyAlignment="1">
      <alignment horizontal="left" vertical="center"/>
    </xf>
    <xf numFmtId="0" fontId="46" fillId="0" borderId="20" xfId="0" applyFont="1" applyFill="1" applyBorder="1" applyAlignment="1" applyProtection="1">
      <alignment vertical="center"/>
      <protection/>
    </xf>
    <xf numFmtId="0" fontId="42" fillId="0" borderId="37"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vertical="center"/>
    </xf>
    <xf numFmtId="1" fontId="25" fillId="0" borderId="19" xfId="0" applyNumberFormat="1" applyFont="1" applyFill="1" applyBorder="1" applyAlignment="1" applyProtection="1">
      <alignment horizontal="right" vertical="center"/>
      <protection locked="0"/>
    </xf>
    <xf numFmtId="0" fontId="21" fillId="0" borderId="19" xfId="0" applyFont="1" applyFill="1" applyBorder="1" applyAlignment="1" applyProtection="1">
      <alignment vertical="center"/>
      <protection locked="0"/>
    </xf>
    <xf numFmtId="184" fontId="5" fillId="0" borderId="19"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left" vertical="center"/>
      <protection locked="0"/>
    </xf>
    <xf numFmtId="0" fontId="14" fillId="0" borderId="19" xfId="0" applyNumberFormat="1" applyFont="1" applyFill="1" applyBorder="1" applyAlignment="1" applyProtection="1">
      <alignment horizontal="right" vertical="center"/>
      <protection locked="0"/>
    </xf>
    <xf numFmtId="200" fontId="16" fillId="0" borderId="19" xfId="0" applyNumberFormat="1" applyFont="1" applyFill="1" applyBorder="1" applyAlignment="1" applyProtection="1">
      <alignment horizontal="right" vertical="center"/>
      <protection locked="0"/>
    </xf>
    <xf numFmtId="193" fontId="19" fillId="0" borderId="19" xfId="0" applyNumberFormat="1" applyFont="1" applyFill="1" applyBorder="1" applyAlignment="1" applyProtection="1">
      <alignment horizontal="right" vertical="center"/>
      <protection locked="0"/>
    </xf>
    <xf numFmtId="193" fontId="25" fillId="0" borderId="19" xfId="0" applyNumberFormat="1" applyFont="1" applyFill="1" applyBorder="1" applyAlignment="1" applyProtection="1">
      <alignment horizontal="right" vertical="center"/>
      <protection locked="0"/>
    </xf>
    <xf numFmtId="192" fontId="26" fillId="0" borderId="19" xfId="0" applyNumberFormat="1" applyFont="1" applyFill="1" applyBorder="1" applyAlignment="1" applyProtection="1">
      <alignment horizontal="right" vertical="center"/>
      <protection locked="0"/>
    </xf>
    <xf numFmtId="200" fontId="26" fillId="0" borderId="19" xfId="0" applyNumberFormat="1" applyFont="1" applyFill="1" applyBorder="1" applyAlignment="1" applyProtection="1">
      <alignment horizontal="right" vertical="center"/>
      <protection locked="0"/>
    </xf>
    <xf numFmtId="193" fontId="26" fillId="0" borderId="19" xfId="0" applyNumberFormat="1" applyFont="1" applyFill="1" applyBorder="1" applyAlignment="1" applyProtection="1">
      <alignment horizontal="right" vertical="center"/>
      <protection locked="0"/>
    </xf>
    <xf numFmtId="192" fontId="26" fillId="0" borderId="23" xfId="0" applyNumberFormat="1" applyFont="1" applyFill="1" applyBorder="1" applyAlignment="1" applyProtection="1">
      <alignment horizontal="right" vertical="center"/>
      <protection locked="0"/>
    </xf>
    <xf numFmtId="0" fontId="34" fillId="0" borderId="24" xfId="0" applyFont="1" applyFill="1" applyBorder="1" applyAlignment="1" applyProtection="1">
      <alignment vertical="center"/>
      <protection locked="0"/>
    </xf>
    <xf numFmtId="0" fontId="43" fillId="0" borderId="38" xfId="0" applyFont="1" applyFill="1" applyBorder="1" applyAlignment="1" applyProtection="1">
      <alignment horizontal="center" vertical="center"/>
      <protection/>
    </xf>
    <xf numFmtId="0" fontId="45" fillId="0" borderId="38" xfId="0" applyFont="1" applyBorder="1" applyAlignment="1">
      <alignment horizontal="left" vertical="center"/>
    </xf>
    <xf numFmtId="0" fontId="46" fillId="0" borderId="38"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45"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2" fillId="0" borderId="37" xfId="0" applyFont="1" applyBorder="1" applyAlignment="1">
      <alignment vertical="center"/>
    </xf>
    <xf numFmtId="0" fontId="34" fillId="0" borderId="37" xfId="0" applyFont="1" applyFill="1" applyBorder="1" applyAlignment="1" applyProtection="1">
      <alignment vertical="center"/>
      <protection locked="0"/>
    </xf>
    <xf numFmtId="0" fontId="39" fillId="0" borderId="20" xfId="0" applyFont="1" applyFill="1" applyBorder="1" applyAlignment="1" applyProtection="1">
      <alignment horizontal="center" wrapText="1"/>
      <protection locked="0"/>
    </xf>
    <xf numFmtId="0" fontId="47" fillId="0" borderId="37" xfId="0" applyFont="1" applyFill="1" applyBorder="1" applyAlignment="1">
      <alignment horizontal="left" vertical="center"/>
    </xf>
    <xf numFmtId="0" fontId="47" fillId="0" borderId="37" xfId="0" applyFont="1" applyFill="1" applyBorder="1" applyAlignment="1">
      <alignment vertical="center"/>
    </xf>
    <xf numFmtId="184" fontId="10" fillId="0" borderId="19" xfId="0" applyNumberFormat="1" applyFont="1" applyBorder="1" applyAlignment="1">
      <alignment horizontal="center" vertical="center"/>
    </xf>
    <xf numFmtId="184" fontId="10" fillId="0" borderId="20"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32" xfId="0" applyNumberFormat="1" applyFont="1" applyFill="1" applyBorder="1" applyAlignment="1" applyProtection="1">
      <alignment horizontal="right" vertical="center"/>
      <protection/>
    </xf>
    <xf numFmtId="0" fontId="50" fillId="0" borderId="0" xfId="0" applyFont="1" applyBorder="1" applyAlignment="1">
      <alignment horizontal="center"/>
    </xf>
    <xf numFmtId="3" fontId="40" fillId="0" borderId="39" xfId="0" applyNumberFormat="1" applyFont="1" applyFill="1" applyBorder="1" applyAlignment="1">
      <alignment horizontal="center"/>
    </xf>
    <xf numFmtId="3" fontId="40" fillId="0" borderId="38" xfId="0" applyNumberFormat="1" applyFont="1" applyFill="1" applyBorder="1" applyAlignment="1">
      <alignment horizontal="center"/>
    </xf>
    <xf numFmtId="0" fontId="8" fillId="0" borderId="20" xfId="0" applyFont="1" applyFill="1" applyBorder="1" applyAlignment="1" applyProtection="1">
      <alignment horizontal="right" vertical="center"/>
      <protection locked="0"/>
    </xf>
    <xf numFmtId="3" fontId="9" fillId="0" borderId="20" xfId="0" applyNumberFormat="1" applyFont="1" applyBorder="1" applyAlignment="1">
      <alignment vertical="center"/>
    </xf>
    <xf numFmtId="192" fontId="28" fillId="0" borderId="20" xfId="0" applyNumberFormat="1" applyFont="1" applyBorder="1" applyAlignment="1">
      <alignment horizontal="right" vertical="center"/>
    </xf>
    <xf numFmtId="184" fontId="51" fillId="0" borderId="20" xfId="0" applyNumberFormat="1" applyFont="1" applyFill="1" applyBorder="1" applyAlignment="1" applyProtection="1">
      <alignment horizontal="center" vertical="center"/>
      <protection locked="0"/>
    </xf>
    <xf numFmtId="3" fontId="51" fillId="0" borderId="20" xfId="67" applyNumberFormat="1" applyFont="1" applyFill="1" applyBorder="1" applyAlignment="1" applyProtection="1">
      <alignment horizontal="right" vertical="center"/>
      <protection locked="0"/>
    </xf>
    <xf numFmtId="3" fontId="51" fillId="0" borderId="20" xfId="67" applyNumberFormat="1" applyFont="1" applyFill="1" applyBorder="1" applyAlignment="1" applyProtection="1">
      <alignment horizontal="right" vertical="center"/>
      <protection/>
    </xf>
    <xf numFmtId="184" fontId="51" fillId="0" borderId="20" xfId="0" applyNumberFormat="1" applyFont="1" applyFill="1" applyBorder="1" applyAlignment="1">
      <alignment horizontal="center" vertical="center"/>
    </xf>
    <xf numFmtId="3" fontId="51" fillId="0" borderId="20" xfId="0" applyNumberFormat="1" applyFont="1" applyFill="1" applyBorder="1" applyAlignment="1">
      <alignment horizontal="right" vertical="center"/>
    </xf>
    <xf numFmtId="3" fontId="51" fillId="0" borderId="20" xfId="0" applyNumberFormat="1" applyFont="1" applyFill="1" applyBorder="1" applyAlignment="1">
      <alignment horizontal="right" vertical="center"/>
    </xf>
    <xf numFmtId="3" fontId="51" fillId="0" borderId="20" xfId="65" applyNumberFormat="1" applyFont="1" applyFill="1" applyBorder="1" applyAlignment="1" applyProtection="1">
      <alignment horizontal="right" vertical="center"/>
      <protection locked="0"/>
    </xf>
    <xf numFmtId="3" fontId="51" fillId="0" borderId="20" xfId="120" applyNumberFormat="1" applyFont="1" applyFill="1" applyBorder="1" applyAlignment="1" applyProtection="1">
      <alignment horizontal="right" vertical="center"/>
      <protection/>
    </xf>
    <xf numFmtId="3" fontId="51" fillId="0" borderId="20" xfId="68" applyNumberFormat="1" applyFont="1" applyFill="1" applyBorder="1" applyAlignment="1" applyProtection="1">
      <alignment horizontal="right" vertical="center"/>
      <protection locked="0"/>
    </xf>
    <xf numFmtId="3" fontId="51" fillId="0" borderId="20" xfId="68" applyNumberFormat="1" applyFont="1" applyFill="1" applyBorder="1" applyAlignment="1" applyProtection="1">
      <alignment horizontal="right" vertical="center"/>
      <protection/>
    </xf>
    <xf numFmtId="3" fontId="51" fillId="0" borderId="20" xfId="74" applyNumberFormat="1" applyFont="1" applyFill="1" applyBorder="1" applyAlignment="1" applyProtection="1">
      <alignment horizontal="right" vertical="center"/>
      <protection locked="0"/>
    </xf>
    <xf numFmtId="3" fontId="51" fillId="0" borderId="20" xfId="74" applyNumberFormat="1" applyFont="1" applyFill="1" applyBorder="1" applyAlignment="1" applyProtection="1">
      <alignment horizontal="right" vertical="center"/>
      <protection/>
    </xf>
    <xf numFmtId="184" fontId="51" fillId="0" borderId="20" xfId="0" applyNumberFormat="1" applyFont="1" applyFill="1" applyBorder="1" applyAlignment="1">
      <alignment horizontal="center" vertical="center"/>
    </xf>
    <xf numFmtId="3" fontId="51" fillId="0" borderId="20" xfId="0" applyNumberFormat="1" applyFont="1" applyFill="1" applyBorder="1" applyAlignment="1">
      <alignment horizontal="right" vertical="center"/>
    </xf>
    <xf numFmtId="184" fontId="51" fillId="0" borderId="20" xfId="95" applyNumberFormat="1" applyFont="1" applyFill="1" applyBorder="1" applyAlignment="1">
      <alignment horizontal="center" vertical="center"/>
      <protection/>
    </xf>
    <xf numFmtId="3" fontId="53" fillId="0" borderId="20" xfId="67" applyNumberFormat="1" applyFont="1" applyFill="1" applyBorder="1" applyAlignment="1" applyProtection="1">
      <alignment horizontal="right" vertical="center"/>
      <protection locked="0"/>
    </xf>
    <xf numFmtId="3" fontId="53" fillId="0" borderId="20" xfId="68" applyNumberFormat="1" applyFont="1" applyFill="1" applyBorder="1" applyAlignment="1" applyProtection="1">
      <alignment horizontal="right" vertical="center"/>
      <protection locked="0"/>
    </xf>
    <xf numFmtId="3" fontId="53" fillId="0" borderId="20" xfId="0" applyNumberFormat="1" applyFont="1" applyFill="1" applyBorder="1" applyAlignment="1">
      <alignment horizontal="right" vertical="center"/>
    </xf>
    <xf numFmtId="3" fontId="53" fillId="0" borderId="20" xfId="74" applyNumberFormat="1" applyFont="1" applyFill="1" applyBorder="1" applyAlignment="1" applyProtection="1">
      <alignment horizontal="right" vertical="center"/>
      <protection locked="0"/>
    </xf>
    <xf numFmtId="3" fontId="53" fillId="0" borderId="20" xfId="65" applyNumberFormat="1" applyFont="1" applyFill="1" applyBorder="1" applyAlignment="1" applyProtection="1">
      <alignment horizontal="right" vertical="center"/>
      <protection locked="0"/>
    </xf>
    <xf numFmtId="3" fontId="53" fillId="0" borderId="20" xfId="65" applyNumberFormat="1" applyFont="1" applyFill="1" applyBorder="1" applyAlignment="1" applyProtection="1">
      <alignment horizontal="right" vertical="center"/>
      <protection/>
    </xf>
    <xf numFmtId="200" fontId="39" fillId="0" borderId="0"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center" wrapText="1"/>
      <protection/>
    </xf>
    <xf numFmtId="4" fontId="51" fillId="0" borderId="20" xfId="68" applyNumberFormat="1" applyFont="1" applyFill="1" applyBorder="1" applyAlignment="1" applyProtection="1">
      <alignment vertical="center"/>
      <protection locked="0"/>
    </xf>
    <xf numFmtId="2" fontId="51" fillId="0" borderId="40" xfId="68" applyNumberFormat="1" applyFont="1" applyFill="1" applyBorder="1" applyAlignment="1" applyProtection="1">
      <alignment vertical="center"/>
      <protection/>
    </xf>
    <xf numFmtId="4" fontId="53"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67" applyNumberFormat="1" applyFont="1" applyFill="1" applyBorder="1" applyAlignment="1" applyProtection="1">
      <alignment horizontal="right" vertical="center"/>
      <protection locked="0"/>
    </xf>
    <xf numFmtId="2" fontId="51" fillId="0" borderId="20" xfId="67" applyNumberFormat="1" applyFont="1" applyFill="1" applyBorder="1" applyAlignment="1" applyProtection="1">
      <alignment horizontal="right" vertical="center"/>
      <protection/>
    </xf>
    <xf numFmtId="4" fontId="51" fillId="0" borderId="20" xfId="67" applyNumberFormat="1" applyFont="1" applyFill="1" applyBorder="1" applyAlignment="1" applyProtection="1">
      <alignment horizontal="right" vertical="center"/>
      <protection locked="0"/>
    </xf>
    <xf numFmtId="4" fontId="53" fillId="0" borderId="20" xfId="68" applyNumberFormat="1" applyFont="1" applyFill="1" applyBorder="1" applyAlignment="1" applyProtection="1">
      <alignment horizontal="right" vertical="center"/>
      <protection locked="0"/>
    </xf>
    <xf numFmtId="2" fontId="51" fillId="0" borderId="20" xfId="68" applyNumberFormat="1" applyFont="1" applyFill="1" applyBorder="1" applyAlignment="1" applyProtection="1">
      <alignment horizontal="right" vertical="center"/>
      <protection/>
    </xf>
    <xf numFmtId="4" fontId="51" fillId="0" borderId="20" xfId="68" applyNumberFormat="1" applyFont="1" applyFill="1" applyBorder="1" applyAlignment="1" applyProtection="1">
      <alignment horizontal="right" vertical="center"/>
      <protection locked="0"/>
    </xf>
    <xf numFmtId="4" fontId="53" fillId="0" borderId="20" xfId="65" applyNumberFormat="1" applyFont="1" applyFill="1" applyBorder="1" applyAlignment="1" applyProtection="1">
      <alignment horizontal="right" vertical="center"/>
      <protection locked="0"/>
    </xf>
    <xf numFmtId="2" fontId="51" fillId="0" borderId="20" xfId="120" applyNumberFormat="1" applyFont="1" applyFill="1" applyBorder="1" applyAlignment="1" applyProtection="1">
      <alignment horizontal="right" vertical="center"/>
      <protection/>
    </xf>
    <xf numFmtId="4" fontId="51" fillId="0" borderId="20" xfId="65" applyNumberFormat="1" applyFont="1" applyFill="1" applyBorder="1" applyAlignment="1" applyProtection="1">
      <alignment horizontal="right" vertical="center"/>
      <protection locked="0"/>
    </xf>
    <xf numFmtId="4" fontId="53" fillId="0" borderId="20" xfId="65" applyNumberFormat="1" applyFont="1" applyFill="1" applyBorder="1" applyAlignment="1" applyProtection="1">
      <alignment horizontal="right" vertical="center"/>
      <protection/>
    </xf>
    <xf numFmtId="4" fontId="51" fillId="0" borderId="20" xfId="65" applyNumberFormat="1" applyFont="1" applyFill="1" applyBorder="1" applyAlignment="1" applyProtection="1">
      <alignment horizontal="right" vertical="center"/>
      <protection/>
    </xf>
    <xf numFmtId="4" fontId="53" fillId="0" borderId="20" xfId="0" applyNumberFormat="1" applyFont="1" applyFill="1" applyBorder="1" applyAlignment="1">
      <alignment horizontal="right" vertical="center"/>
    </xf>
    <xf numFmtId="2" fontId="51" fillId="0" borderId="20" xfId="0" applyNumberFormat="1" applyFont="1" applyFill="1" applyBorder="1" applyAlignment="1">
      <alignment horizontal="right" vertical="center"/>
    </xf>
    <xf numFmtId="4" fontId="51" fillId="0" borderId="20" xfId="0" applyNumberFormat="1" applyFont="1" applyFill="1" applyBorder="1" applyAlignment="1">
      <alignment horizontal="right" vertical="center"/>
    </xf>
    <xf numFmtId="4" fontId="53" fillId="0" borderId="20" xfId="74" applyNumberFormat="1" applyFont="1" applyFill="1" applyBorder="1" applyAlignment="1" applyProtection="1">
      <alignment horizontal="right" vertical="center"/>
      <protection locked="0"/>
    </xf>
    <xf numFmtId="2" fontId="51" fillId="0" borderId="20" xfId="74" applyNumberFormat="1" applyFont="1" applyFill="1" applyBorder="1" applyAlignment="1" applyProtection="1">
      <alignment horizontal="right" vertical="center"/>
      <protection/>
    </xf>
    <xf numFmtId="4" fontId="51" fillId="0" borderId="20" xfId="74" applyNumberFormat="1" applyFont="1" applyFill="1" applyBorder="1" applyAlignment="1" applyProtection="1">
      <alignment horizontal="right" vertical="center"/>
      <protection locked="0"/>
    </xf>
    <xf numFmtId="0" fontId="51" fillId="0" borderId="41" xfId="0" applyFont="1" applyFill="1" applyBorder="1" applyAlignment="1">
      <alignment horizontal="left" vertical="center"/>
    </xf>
    <xf numFmtId="2" fontId="51" fillId="0" borderId="40" xfId="0" applyNumberFormat="1" applyFont="1" applyFill="1" applyBorder="1" applyAlignment="1">
      <alignment horizontal="right" vertical="center"/>
    </xf>
    <xf numFmtId="0" fontId="51" fillId="0" borderId="41" xfId="0" applyFont="1" applyFill="1" applyBorder="1" applyAlignment="1" applyProtection="1">
      <alignment horizontal="left" vertical="center"/>
      <protection locked="0"/>
    </xf>
    <xf numFmtId="2" fontId="51" fillId="0" borderId="40" xfId="67" applyNumberFormat="1" applyFont="1" applyFill="1" applyBorder="1" applyAlignment="1" applyProtection="1">
      <alignment horizontal="right" vertical="center"/>
      <protection/>
    </xf>
    <xf numFmtId="0" fontId="51" fillId="0" borderId="41" xfId="0" applyFont="1" applyFill="1" applyBorder="1" applyAlignment="1">
      <alignment horizontal="left" vertical="center"/>
    </xf>
    <xf numFmtId="2" fontId="51" fillId="0" borderId="40" xfId="68" applyNumberFormat="1" applyFont="1" applyFill="1" applyBorder="1" applyAlignment="1" applyProtection="1">
      <alignment horizontal="right" vertical="center"/>
      <protection/>
    </xf>
    <xf numFmtId="0" fontId="51" fillId="0" borderId="41" xfId="0" applyNumberFormat="1" applyFont="1" applyFill="1" applyBorder="1" applyAlignment="1" applyProtection="1">
      <alignment horizontal="left" vertical="center"/>
      <protection locked="0"/>
    </xf>
    <xf numFmtId="2" fontId="51" fillId="0" borderId="40" xfId="120" applyNumberFormat="1" applyFont="1" applyFill="1" applyBorder="1" applyAlignment="1" applyProtection="1">
      <alignment horizontal="right" vertical="center"/>
      <protection/>
    </xf>
    <xf numFmtId="212" fontId="51" fillId="0" borderId="41" xfId="0" applyNumberFormat="1" applyFont="1" applyFill="1" applyBorder="1" applyAlignment="1">
      <alignment horizontal="left" vertical="center"/>
    </xf>
    <xf numFmtId="2" fontId="51" fillId="0" borderId="40" xfId="0" applyNumberFormat="1" applyFont="1" applyFill="1" applyBorder="1" applyAlignment="1">
      <alignment horizontal="right" vertical="center"/>
    </xf>
    <xf numFmtId="2" fontId="51" fillId="0" borderId="40" xfId="74" applyNumberFormat="1" applyFont="1" applyFill="1" applyBorder="1" applyAlignment="1" applyProtection="1">
      <alignment horizontal="right" vertical="center"/>
      <protection/>
    </xf>
    <xf numFmtId="0" fontId="47" fillId="0" borderId="0" xfId="0" applyFont="1" applyFill="1" applyBorder="1" applyAlignment="1">
      <alignment horizontal="left" vertical="center"/>
    </xf>
    <xf numFmtId="0" fontId="47" fillId="0" borderId="0" xfId="0" applyFont="1" applyFill="1" applyBorder="1" applyAlignment="1">
      <alignment vertical="center"/>
    </xf>
    <xf numFmtId="0" fontId="8" fillId="0" borderId="20" xfId="0" applyFont="1" applyFill="1" applyBorder="1" applyAlignment="1" applyProtection="1">
      <alignment horizontal="left" vertical="center"/>
      <protection locked="0"/>
    </xf>
    <xf numFmtId="4" fontId="39" fillId="0" borderId="42" xfId="0" applyNumberFormat="1" applyFont="1" applyFill="1" applyBorder="1" applyAlignment="1" applyProtection="1">
      <alignment horizontal="center" wrapText="1"/>
      <protection/>
    </xf>
    <xf numFmtId="3" fontId="39" fillId="0" borderId="42" xfId="0" applyNumberFormat="1" applyFont="1" applyFill="1" applyBorder="1" applyAlignment="1" applyProtection="1">
      <alignment horizontal="center" wrapText="1"/>
      <protection/>
    </xf>
    <xf numFmtId="2" fontId="39" fillId="0" borderId="42" xfId="0" applyNumberFormat="1" applyFont="1" applyFill="1" applyBorder="1" applyAlignment="1" applyProtection="1">
      <alignment horizontal="center" wrapText="1"/>
      <protection/>
    </xf>
    <xf numFmtId="2" fontId="39" fillId="0" borderId="43" xfId="0" applyNumberFormat="1" applyFont="1" applyFill="1" applyBorder="1" applyAlignment="1" applyProtection="1">
      <alignment horizontal="center" wrapText="1"/>
      <protection/>
    </xf>
    <xf numFmtId="0" fontId="38" fillId="0" borderId="24" xfId="0" applyFont="1" applyFill="1" applyBorder="1" applyAlignment="1" applyProtection="1">
      <alignment horizontal="right" vertical="center"/>
      <protection/>
    </xf>
    <xf numFmtId="184" fontId="51" fillId="0" borderId="20" xfId="0" applyNumberFormat="1" applyFont="1" applyFill="1" applyBorder="1" applyAlignment="1">
      <alignment horizontal="center" wrapText="1"/>
    </xf>
    <xf numFmtId="14" fontId="51" fillId="0" borderId="20" xfId="0" applyNumberFormat="1" applyFont="1" applyFill="1" applyBorder="1" applyAlignment="1">
      <alignment horizontal="left"/>
    </xf>
    <xf numFmtId="0" fontId="51" fillId="0" borderId="20" xfId="0" applyFont="1" applyFill="1" applyBorder="1" applyAlignment="1">
      <alignment horizontal="right"/>
    </xf>
    <xf numFmtId="4" fontId="51" fillId="0" borderId="20" xfId="0" applyNumberFormat="1" applyFont="1" applyFill="1" applyBorder="1" applyAlignment="1">
      <alignment horizontal="right"/>
    </xf>
    <xf numFmtId="3" fontId="51" fillId="0" borderId="20" xfId="0" applyNumberFormat="1" applyFont="1" applyFill="1" applyBorder="1" applyAlignment="1">
      <alignment horizontal="right"/>
    </xf>
    <xf numFmtId="0" fontId="51" fillId="0" borderId="20" xfId="0" applyNumberFormat="1" applyFont="1" applyFill="1" applyBorder="1" applyAlignment="1">
      <alignment horizontal="left" vertical="center"/>
    </xf>
    <xf numFmtId="0" fontId="51" fillId="0" borderId="20" xfId="0" applyNumberFormat="1" applyFont="1" applyFill="1" applyBorder="1" applyAlignment="1">
      <alignment horizontal="right" vertical="center"/>
    </xf>
    <xf numFmtId="0" fontId="51" fillId="0" borderId="20" xfId="0" applyNumberFormat="1" applyFont="1" applyFill="1" applyBorder="1" applyAlignment="1" applyProtection="1">
      <alignment horizontal="right" vertical="center"/>
      <protection locked="0"/>
    </xf>
    <xf numFmtId="0" fontId="51" fillId="0" borderId="20" xfId="0" applyNumberFormat="1" applyFont="1" applyFill="1" applyBorder="1" applyAlignment="1" applyProtection="1">
      <alignment horizontal="left" vertical="center"/>
      <protection locked="0"/>
    </xf>
    <xf numFmtId="0" fontId="51" fillId="0" borderId="20" xfId="0" applyNumberFormat="1" applyFont="1" applyFill="1" applyBorder="1" applyAlignment="1">
      <alignment horizontal="right" vertical="center"/>
    </xf>
    <xf numFmtId="4" fontId="53" fillId="0" borderId="20" xfId="92" applyNumberFormat="1" applyFont="1" applyFill="1" applyBorder="1" applyAlignment="1" applyProtection="1">
      <alignment horizontal="right" vertical="center"/>
      <protection/>
    </xf>
    <xf numFmtId="3" fontId="53" fillId="0" borderId="20" xfId="92" applyNumberFormat="1" applyFont="1" applyFill="1" applyBorder="1" applyAlignment="1" applyProtection="1">
      <alignment horizontal="right" vertical="center"/>
      <protection/>
    </xf>
    <xf numFmtId="3" fontId="51" fillId="0" borderId="20" xfId="92" applyNumberFormat="1" applyFont="1" applyFill="1" applyBorder="1" applyAlignment="1" applyProtection="1">
      <alignment horizontal="right" vertical="center"/>
      <protection/>
    </xf>
    <xf numFmtId="4" fontId="51" fillId="0" borderId="20" xfId="92" applyNumberFormat="1" applyFont="1" applyFill="1" applyBorder="1" applyAlignment="1" applyProtection="1">
      <alignment horizontal="right" vertical="center"/>
      <protection/>
    </xf>
    <xf numFmtId="0" fontId="51" fillId="0" borderId="41" xfId="0" applyFont="1" applyFill="1" applyBorder="1" applyAlignment="1">
      <alignment horizontal="left"/>
    </xf>
    <xf numFmtId="2" fontId="51" fillId="0" borderId="40" xfId="0" applyNumberFormat="1" applyFont="1" applyFill="1" applyBorder="1" applyAlignment="1">
      <alignment horizontal="right"/>
    </xf>
    <xf numFmtId="0" fontId="51" fillId="0" borderId="41" xfId="0" applyNumberFormat="1" applyFont="1" applyFill="1" applyBorder="1" applyAlignment="1">
      <alignment horizontal="left" vertical="center"/>
    </xf>
    <xf numFmtId="0" fontId="51" fillId="0" borderId="20" xfId="0" applyFont="1" applyFill="1" applyBorder="1" applyAlignment="1">
      <alignment horizontal="right" vertical="center"/>
    </xf>
    <xf numFmtId="0" fontId="51" fillId="0" borderId="20" xfId="0" applyFont="1" applyFill="1" applyBorder="1" applyAlignment="1">
      <alignment horizontal="left" vertical="center"/>
    </xf>
    <xf numFmtId="0" fontId="51" fillId="0" borderId="20" xfId="0" applyFont="1" applyFill="1" applyBorder="1" applyAlignment="1" applyProtection="1">
      <alignment horizontal="right" vertical="center"/>
      <protection locked="0"/>
    </xf>
    <xf numFmtId="0" fontId="51" fillId="0" borderId="20" xfId="0" applyFont="1" applyFill="1" applyBorder="1" applyAlignment="1" applyProtection="1">
      <alignment horizontal="left" vertical="center"/>
      <protection locked="0"/>
    </xf>
    <xf numFmtId="49" fontId="51" fillId="0" borderId="20" xfId="0" applyNumberFormat="1" applyFont="1" applyFill="1" applyBorder="1" applyAlignment="1" applyProtection="1">
      <alignment horizontal="left" vertical="center"/>
      <protection locked="0"/>
    </xf>
    <xf numFmtId="0" fontId="51" fillId="0" borderId="20" xfId="0" applyFont="1" applyFill="1" applyBorder="1" applyAlignment="1">
      <alignment horizontal="left" vertical="center"/>
    </xf>
    <xf numFmtId="0" fontId="51" fillId="0" borderId="20" xfId="95"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3" fontId="51" fillId="0" borderId="20" xfId="0" applyNumberFormat="1" applyFont="1" applyFill="1" applyBorder="1" applyAlignment="1" applyProtection="1">
      <alignment horizontal="right" vertical="center"/>
      <protection/>
    </xf>
    <xf numFmtId="2" fontId="51" fillId="0" borderId="20" xfId="0" applyNumberFormat="1" applyFont="1" applyFill="1" applyBorder="1" applyAlignment="1" applyProtection="1">
      <alignment horizontal="right" vertical="center"/>
      <protection/>
    </xf>
    <xf numFmtId="4" fontId="51" fillId="0" borderId="20" xfId="0" applyNumberFormat="1" applyFont="1" applyFill="1" applyBorder="1" applyAlignment="1">
      <alignment vertical="center"/>
    </xf>
    <xf numFmtId="2" fontId="51" fillId="0" borderId="40" xfId="0" applyNumberFormat="1" applyFont="1" applyFill="1" applyBorder="1" applyAlignment="1">
      <alignment vertical="center"/>
    </xf>
    <xf numFmtId="3" fontId="51" fillId="0" borderId="20" xfId="65" applyNumberFormat="1" applyFont="1" applyFill="1" applyBorder="1" applyAlignment="1" applyProtection="1">
      <alignment horizontal="right" vertical="center"/>
      <protection/>
    </xf>
    <xf numFmtId="0" fontId="51" fillId="0" borderId="41" xfId="0" applyFont="1" applyFill="1" applyBorder="1" applyAlignment="1" applyProtection="1">
      <alignment horizontal="left" vertical="center" shrinkToFit="1"/>
      <protection locked="0"/>
    </xf>
    <xf numFmtId="184" fontId="51" fillId="0" borderId="20" xfId="0" applyNumberFormat="1" applyFont="1" applyFill="1" applyBorder="1" applyAlignment="1">
      <alignment horizontal="left" vertical="center"/>
    </xf>
    <xf numFmtId="184" fontId="51" fillId="0" borderId="20" xfId="0" applyNumberFormat="1" applyFont="1" applyFill="1" applyBorder="1" applyAlignment="1">
      <alignment horizontal="left" vertical="center"/>
    </xf>
    <xf numFmtId="2" fontId="51" fillId="0" borderId="20" xfId="65"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protection locked="0"/>
    </xf>
    <xf numFmtId="0" fontId="33" fillId="0" borderId="0" xfId="0" applyFont="1" applyFill="1" applyBorder="1" applyAlignment="1" applyProtection="1">
      <alignment horizontal="right" vertical="center"/>
      <protection locked="0"/>
    </xf>
    <xf numFmtId="0" fontId="40" fillId="0" borderId="20" xfId="0" applyFont="1" applyFill="1" applyBorder="1" applyAlignment="1" applyProtection="1">
      <alignment horizontal="right" wrapText="1"/>
      <protection locked="0"/>
    </xf>
    <xf numFmtId="0" fontId="40" fillId="0" borderId="44" xfId="0" applyFont="1" applyFill="1" applyBorder="1" applyAlignment="1" applyProtection="1">
      <alignment horizontal="right" wrapText="1"/>
      <protection locked="0"/>
    </xf>
    <xf numFmtId="0" fontId="9" fillId="0" borderId="0" xfId="0" applyFont="1" applyFill="1" applyAlignment="1">
      <alignment horizontal="right"/>
    </xf>
    <xf numFmtId="3" fontId="51" fillId="0" borderId="20" xfId="0" applyNumberFormat="1" applyFont="1" applyFill="1" applyBorder="1" applyAlignment="1">
      <alignment vertical="center"/>
    </xf>
    <xf numFmtId="3" fontId="51" fillId="0" borderId="20" xfId="68" applyNumberFormat="1" applyFont="1" applyFill="1" applyBorder="1" applyAlignment="1" applyProtection="1">
      <alignment vertical="center"/>
      <protection locked="0"/>
    </xf>
    <xf numFmtId="2" fontId="51" fillId="0" borderId="40" xfId="0" applyNumberFormat="1" applyFont="1" applyFill="1" applyBorder="1" applyAlignment="1" applyProtection="1">
      <alignment horizontal="right" vertical="center"/>
      <protection/>
    </xf>
    <xf numFmtId="0" fontId="8" fillId="0" borderId="38" xfId="0" applyFont="1" applyFill="1" applyBorder="1" applyAlignment="1" applyProtection="1">
      <alignment horizontal="right" vertical="center"/>
      <protection locked="0"/>
    </xf>
    <xf numFmtId="184" fontId="51" fillId="56" borderId="20" xfId="0" applyNumberFormat="1" applyFont="1" applyFill="1" applyBorder="1" applyAlignment="1">
      <alignment horizontal="center" wrapText="1"/>
    </xf>
    <xf numFmtId="14" fontId="51" fillId="56" borderId="20" xfId="0" applyNumberFormat="1" applyFont="1" applyFill="1" applyBorder="1" applyAlignment="1">
      <alignment horizontal="left"/>
    </xf>
    <xf numFmtId="0" fontId="51" fillId="56" borderId="20" xfId="0" applyFont="1" applyFill="1" applyBorder="1" applyAlignment="1">
      <alignment horizontal="right"/>
    </xf>
    <xf numFmtId="4" fontId="53" fillId="56" borderId="20" xfId="0" applyNumberFormat="1" applyFont="1" applyFill="1" applyBorder="1" applyAlignment="1">
      <alignment horizontal="right"/>
    </xf>
    <xf numFmtId="3" fontId="53" fillId="56" borderId="20" xfId="0" applyNumberFormat="1" applyFont="1" applyFill="1" applyBorder="1" applyAlignment="1">
      <alignment horizontal="right"/>
    </xf>
    <xf numFmtId="3" fontId="51" fillId="56" borderId="20" xfId="0" applyNumberFormat="1" applyFont="1" applyFill="1" applyBorder="1" applyAlignment="1">
      <alignment horizontal="right"/>
    </xf>
    <xf numFmtId="2" fontId="51" fillId="56" borderId="20" xfId="0" applyNumberFormat="1" applyFont="1" applyFill="1" applyBorder="1" applyAlignment="1">
      <alignment horizontal="right"/>
    </xf>
    <xf numFmtId="4" fontId="51" fillId="56" borderId="20" xfId="0" applyNumberFormat="1" applyFont="1" applyFill="1" applyBorder="1" applyAlignment="1">
      <alignment horizontal="right"/>
    </xf>
    <xf numFmtId="3" fontId="51" fillId="56" borderId="20" xfId="0" applyNumberFormat="1" applyFont="1" applyFill="1" applyBorder="1" applyAlignment="1">
      <alignment horizontal="right"/>
    </xf>
    <xf numFmtId="0" fontId="51" fillId="0" borderId="20" xfId="0" applyFont="1" applyBorder="1" applyAlignment="1" applyProtection="1">
      <alignment horizontal="left" vertical="center"/>
      <protection locked="0"/>
    </xf>
    <xf numFmtId="0" fontId="51" fillId="0" borderId="20" xfId="0" applyFont="1" applyBorder="1" applyAlignment="1" applyProtection="1">
      <alignment horizontal="right" vertical="center"/>
      <protection locked="0"/>
    </xf>
    <xf numFmtId="3" fontId="51" fillId="0" borderId="20" xfId="120" applyNumberFormat="1" applyFont="1" applyBorder="1" applyAlignment="1" applyProtection="1">
      <alignment horizontal="right" vertical="center"/>
      <protection/>
    </xf>
    <xf numFmtId="2" fontId="51" fillId="0" borderId="20" xfId="120" applyNumberFormat="1" applyFont="1" applyBorder="1" applyAlignment="1" applyProtection="1">
      <alignment horizontal="right" vertical="center"/>
      <protection/>
    </xf>
    <xf numFmtId="184" fontId="51" fillId="0" borderId="20" xfId="0" applyNumberFormat="1" applyFont="1" applyBorder="1" applyAlignment="1" applyProtection="1">
      <alignment horizontal="center" vertical="center"/>
      <protection locked="0"/>
    </xf>
    <xf numFmtId="0" fontId="51" fillId="56" borderId="41" xfId="0" applyFont="1" applyFill="1" applyBorder="1" applyAlignment="1">
      <alignment horizontal="left"/>
    </xf>
    <xf numFmtId="2" fontId="51" fillId="56" borderId="40" xfId="0" applyNumberFormat="1" applyFont="1" applyFill="1" applyBorder="1" applyAlignment="1">
      <alignment horizontal="right"/>
    </xf>
    <xf numFmtId="2" fontId="51" fillId="0" borderId="40" xfId="120" applyNumberFormat="1" applyFont="1" applyBorder="1" applyAlignment="1" applyProtection="1">
      <alignment horizontal="right" vertical="center"/>
      <protection/>
    </xf>
    <xf numFmtId="0" fontId="39" fillId="0" borderId="45" xfId="0" applyFont="1" applyFill="1" applyBorder="1" applyAlignment="1" applyProtection="1">
      <alignment vertical="center"/>
      <protection locked="0"/>
    </xf>
    <xf numFmtId="0" fontId="36" fillId="0" borderId="38" xfId="0" applyFont="1" applyFill="1" applyBorder="1" applyAlignment="1" applyProtection="1">
      <alignment horizontal="right" vertical="center" wrapText="1"/>
      <protection locked="0"/>
    </xf>
    <xf numFmtId="0" fontId="9" fillId="0" borderId="38" xfId="0" applyFont="1" applyFill="1" applyBorder="1" applyAlignment="1">
      <alignment horizontal="right"/>
    </xf>
    <xf numFmtId="0" fontId="39" fillId="0" borderId="46" xfId="0" applyFont="1" applyFill="1" applyBorder="1" applyAlignment="1">
      <alignment horizontal="right" vertical="center"/>
    </xf>
    <xf numFmtId="14" fontId="51" fillId="0" borderId="20" xfId="0" applyNumberFormat="1" applyFont="1" applyFill="1" applyBorder="1" applyAlignment="1">
      <alignment horizontal="left" vertical="center"/>
    </xf>
    <xf numFmtId="184" fontId="51" fillId="0" borderId="20" xfId="93" applyNumberFormat="1" applyFont="1" applyFill="1" applyBorder="1" applyAlignment="1">
      <alignment horizontal="center" vertical="center"/>
      <protection/>
    </xf>
    <xf numFmtId="0" fontId="51" fillId="0" borderId="20" xfId="93" applyFont="1" applyFill="1" applyBorder="1" applyAlignment="1">
      <alignment horizontal="right" vertical="center"/>
      <protection/>
    </xf>
    <xf numFmtId="3" fontId="53" fillId="0" borderId="20" xfId="0" applyNumberFormat="1" applyFont="1" applyFill="1" applyBorder="1" applyAlignment="1">
      <alignment horizontal="right" vertical="center"/>
    </xf>
    <xf numFmtId="2" fontId="51" fillId="0" borderId="20" xfId="0" applyNumberFormat="1" applyFont="1" applyFill="1" applyBorder="1" applyAlignment="1">
      <alignment horizontal="right" vertical="center"/>
    </xf>
    <xf numFmtId="0" fontId="51" fillId="0" borderId="41" xfId="93" applyFont="1" applyFill="1" applyBorder="1" applyAlignment="1">
      <alignment horizontal="left" vertical="center"/>
      <protection/>
    </xf>
    <xf numFmtId="0" fontId="8" fillId="0" borderId="38" xfId="0" applyFont="1" applyFill="1" applyBorder="1" applyAlignment="1">
      <alignment horizontal="right" vertical="center"/>
    </xf>
    <xf numFmtId="0" fontId="8" fillId="0" borderId="38" xfId="0" applyFont="1" applyFill="1" applyBorder="1" applyAlignment="1" applyProtection="1">
      <alignment horizontal="right" vertical="center"/>
      <protection locked="0"/>
    </xf>
    <xf numFmtId="0" fontId="51" fillId="0" borderId="20" xfId="0" applyFont="1" applyFill="1" applyBorder="1" applyAlignment="1">
      <alignment vertical="center"/>
    </xf>
    <xf numFmtId="184" fontId="51" fillId="0" borderId="20" xfId="0" applyNumberFormat="1" applyFont="1" applyFill="1" applyBorder="1" applyAlignment="1">
      <alignment horizontal="center" vertical="center" shrinkToFit="1"/>
    </xf>
    <xf numFmtId="14" fontId="51" fillId="0" borderId="20" xfId="0" applyNumberFormat="1" applyFont="1" applyFill="1" applyBorder="1" applyAlignment="1">
      <alignment vertical="center"/>
    </xf>
    <xf numFmtId="0" fontId="51" fillId="0" borderId="20" xfId="0" applyFont="1" applyFill="1" applyBorder="1" applyAlignment="1">
      <alignment horizontal="right" vertical="center" shrinkToFit="1"/>
    </xf>
    <xf numFmtId="4" fontId="53" fillId="0" borderId="20" xfId="0" applyNumberFormat="1" applyFont="1" applyFill="1" applyBorder="1" applyAlignment="1">
      <alignment horizontal="right"/>
    </xf>
    <xf numFmtId="4" fontId="53" fillId="0" borderId="20" xfId="68" applyNumberFormat="1" applyFont="1" applyFill="1" applyBorder="1" applyAlignment="1" applyProtection="1">
      <alignment horizontal="right" vertical="center" shrinkToFit="1"/>
      <protection locked="0"/>
    </xf>
    <xf numFmtId="4" fontId="53" fillId="0" borderId="20" xfId="68" applyNumberFormat="1" applyFont="1" applyFill="1" applyBorder="1" applyAlignment="1" applyProtection="1">
      <alignment vertical="center"/>
      <protection locked="0"/>
    </xf>
    <xf numFmtId="4" fontId="53" fillId="0" borderId="20" xfId="0" applyNumberFormat="1" applyFont="1" applyFill="1" applyBorder="1" applyAlignment="1">
      <alignment vertical="center"/>
    </xf>
    <xf numFmtId="3" fontId="53" fillId="0" borderId="20" xfId="0" applyNumberFormat="1" applyFont="1" applyFill="1" applyBorder="1" applyAlignment="1">
      <alignment horizontal="right"/>
    </xf>
    <xf numFmtId="3" fontId="53" fillId="0" borderId="20" xfId="68" applyNumberFormat="1" applyFont="1" applyFill="1" applyBorder="1" applyAlignment="1" applyProtection="1">
      <alignment horizontal="right" vertical="center" shrinkToFit="1"/>
      <protection locked="0"/>
    </xf>
    <xf numFmtId="3" fontId="51" fillId="0" borderId="20" xfId="68" applyNumberFormat="1" applyFont="1" applyFill="1" applyBorder="1" applyAlignment="1" applyProtection="1">
      <alignment horizontal="right" vertical="center" shrinkToFit="1"/>
      <protection/>
    </xf>
    <xf numFmtId="2" fontId="51" fillId="0" borderId="20" xfId="0" applyNumberFormat="1" applyFont="1" applyFill="1" applyBorder="1" applyAlignment="1">
      <alignment horizontal="right"/>
    </xf>
    <xf numFmtId="2" fontId="51" fillId="0" borderId="20" xfId="68" applyNumberFormat="1" applyFont="1" applyFill="1" applyBorder="1" applyAlignment="1" applyProtection="1">
      <alignment horizontal="right" vertical="center" shrinkToFit="1"/>
      <protection/>
    </xf>
    <xf numFmtId="2" fontId="51" fillId="0" borderId="20" xfId="68" applyNumberFormat="1" applyFont="1" applyFill="1" applyBorder="1" applyAlignment="1" applyProtection="1">
      <alignment vertical="center"/>
      <protection/>
    </xf>
    <xf numFmtId="2" fontId="51" fillId="0" borderId="20" xfId="0" applyNumberFormat="1" applyFont="1" applyFill="1" applyBorder="1" applyAlignment="1">
      <alignment vertical="center"/>
    </xf>
    <xf numFmtId="4" fontId="51" fillId="0" borderId="20" xfId="68" applyNumberFormat="1" applyFont="1" applyFill="1" applyBorder="1" applyAlignment="1" applyProtection="1">
      <alignment horizontal="right" vertical="center" shrinkToFit="1"/>
      <protection locked="0"/>
    </xf>
    <xf numFmtId="3" fontId="51" fillId="0" borderId="20" xfId="68" applyNumberFormat="1" applyFont="1" applyFill="1" applyBorder="1" applyAlignment="1" applyProtection="1">
      <alignment horizontal="right" vertical="center" shrinkToFit="1"/>
      <protection locked="0"/>
    </xf>
    <xf numFmtId="3" fontId="53" fillId="0" borderId="20" xfId="68" applyNumberFormat="1" applyFont="1" applyFill="1" applyBorder="1" applyAlignment="1" applyProtection="1">
      <alignment vertical="center"/>
      <protection locked="0"/>
    </xf>
    <xf numFmtId="3" fontId="51" fillId="0" borderId="20" xfId="68" applyNumberFormat="1" applyFont="1" applyFill="1" applyBorder="1" applyAlignment="1" applyProtection="1">
      <alignment vertical="center"/>
      <protection/>
    </xf>
    <xf numFmtId="0" fontId="51" fillId="0" borderId="20" xfId="0" applyFont="1" applyFill="1" applyBorder="1" applyAlignment="1" applyProtection="1">
      <alignment vertical="center"/>
      <protection locked="0"/>
    </xf>
    <xf numFmtId="4" fontId="53" fillId="0" borderId="20" xfId="67" applyNumberFormat="1" applyFont="1" applyFill="1" applyBorder="1" applyAlignment="1" applyProtection="1">
      <alignment vertical="center"/>
      <protection locked="0"/>
    </xf>
    <xf numFmtId="2" fontId="51" fillId="0" borderId="20" xfId="67" applyNumberFormat="1" applyFont="1" applyFill="1" applyBorder="1" applyAlignment="1" applyProtection="1">
      <alignment vertical="center"/>
      <protection/>
    </xf>
    <xf numFmtId="4" fontId="51" fillId="0" borderId="20" xfId="67" applyNumberFormat="1" applyFont="1" applyFill="1" applyBorder="1" applyAlignment="1" applyProtection="1">
      <alignment vertical="center"/>
      <protection locked="0"/>
    </xf>
    <xf numFmtId="184" fontId="51" fillId="0" borderId="20" xfId="0" applyNumberFormat="1" applyFont="1" applyFill="1" applyBorder="1" applyAlignment="1" applyProtection="1">
      <alignment horizontal="left" vertical="center"/>
      <protection locked="0"/>
    </xf>
    <xf numFmtId="3" fontId="53" fillId="0" borderId="20" xfId="67" applyNumberFormat="1" applyFont="1" applyFill="1" applyBorder="1" applyAlignment="1" applyProtection="1">
      <alignment vertical="center"/>
      <protection locked="0"/>
    </xf>
    <xf numFmtId="3" fontId="51" fillId="0" borderId="20" xfId="67" applyNumberFormat="1" applyFont="1" applyFill="1" applyBorder="1" applyAlignment="1" applyProtection="1">
      <alignment vertical="center"/>
      <protection/>
    </xf>
    <xf numFmtId="3" fontId="51" fillId="0" borderId="20" xfId="67" applyNumberFormat="1" applyFont="1" applyFill="1" applyBorder="1" applyAlignment="1" applyProtection="1">
      <alignment vertical="center"/>
      <protection locked="0"/>
    </xf>
    <xf numFmtId="4" fontId="53" fillId="0" borderId="20" xfId="65" applyNumberFormat="1" applyFont="1" applyFill="1" applyBorder="1" applyAlignment="1" applyProtection="1">
      <alignment vertical="center"/>
      <protection/>
    </xf>
    <xf numFmtId="2" fontId="51" fillId="0" borderId="20" xfId="120" applyNumberFormat="1" applyFont="1" applyFill="1" applyBorder="1" applyAlignment="1" applyProtection="1">
      <alignment vertical="center"/>
      <protection/>
    </xf>
    <xf numFmtId="4" fontId="51" fillId="0" borderId="20" xfId="65" applyNumberFormat="1" applyFont="1" applyFill="1" applyBorder="1" applyAlignment="1" applyProtection="1">
      <alignment vertical="center"/>
      <protection/>
    </xf>
    <xf numFmtId="0" fontId="51" fillId="0" borderId="20" xfId="0" applyNumberFormat="1" applyFont="1" applyFill="1" applyBorder="1" applyAlignment="1">
      <alignment horizontal="left" vertical="center"/>
    </xf>
    <xf numFmtId="184" fontId="51" fillId="0" borderId="20" xfId="0" applyNumberFormat="1" applyFont="1" applyFill="1" applyBorder="1" applyAlignment="1">
      <alignment horizontal="center"/>
    </xf>
    <xf numFmtId="0" fontId="51" fillId="0" borderId="20" xfId="0" applyFont="1" applyFill="1" applyBorder="1" applyAlignment="1">
      <alignment horizontal="right"/>
    </xf>
    <xf numFmtId="4" fontId="53" fillId="0" borderId="20" xfId="0" applyNumberFormat="1" applyFont="1" applyFill="1" applyBorder="1" applyAlignment="1">
      <alignment horizontal="right"/>
    </xf>
    <xf numFmtId="3" fontId="53" fillId="0" borderId="20" xfId="0" applyNumberFormat="1" applyFont="1" applyFill="1" applyBorder="1" applyAlignment="1">
      <alignment horizontal="right"/>
    </xf>
    <xf numFmtId="2" fontId="51" fillId="0" borderId="20" xfId="0" applyNumberFormat="1" applyFont="1" applyFill="1" applyBorder="1" applyAlignment="1">
      <alignment horizontal="right"/>
    </xf>
    <xf numFmtId="4" fontId="51" fillId="0" borderId="20" xfId="0" applyNumberFormat="1" applyFont="1" applyFill="1" applyBorder="1" applyAlignment="1">
      <alignment horizontal="right"/>
    </xf>
    <xf numFmtId="4" fontId="53" fillId="0" borderId="20" xfId="0" applyNumberFormat="1" applyFont="1" applyFill="1" applyBorder="1" applyAlignment="1">
      <alignment vertical="center"/>
    </xf>
    <xf numFmtId="0" fontId="51" fillId="0" borderId="20" xfId="0" applyNumberFormat="1" applyFont="1" applyFill="1" applyBorder="1" applyAlignment="1" applyProtection="1">
      <alignment vertical="center"/>
      <protection locked="0"/>
    </xf>
    <xf numFmtId="4" fontId="53" fillId="0" borderId="20" xfId="74" applyNumberFormat="1" applyFont="1" applyFill="1" applyBorder="1" applyAlignment="1" applyProtection="1">
      <alignment vertical="center"/>
      <protection locked="0"/>
    </xf>
    <xf numFmtId="2" fontId="51" fillId="0" borderId="20" xfId="74" applyNumberFormat="1" applyFont="1" applyFill="1" applyBorder="1" applyAlignment="1" applyProtection="1">
      <alignment vertical="center"/>
      <protection/>
    </xf>
    <xf numFmtId="4" fontId="51" fillId="0" borderId="20" xfId="74" applyNumberFormat="1" applyFont="1" applyFill="1" applyBorder="1" applyAlignment="1" applyProtection="1">
      <alignment vertical="center"/>
      <protection locked="0"/>
    </xf>
    <xf numFmtId="184" fontId="51" fillId="0" borderId="20" xfId="95" applyNumberFormat="1" applyFont="1" applyFill="1" applyBorder="1" applyAlignment="1">
      <alignment horizontal="left" vertical="center"/>
      <protection/>
    </xf>
    <xf numFmtId="0" fontId="51" fillId="0" borderId="20" xfId="95" applyNumberFormat="1" applyFont="1" applyFill="1" applyBorder="1" applyAlignment="1">
      <alignment horizontal="right" vertical="center"/>
      <protection/>
    </xf>
    <xf numFmtId="184" fontId="51" fillId="0" borderId="20" xfId="95" applyNumberFormat="1" applyFont="1" applyFill="1" applyBorder="1" applyAlignment="1">
      <alignment horizontal="center" vertical="center" shrinkToFit="1"/>
      <protection/>
    </xf>
    <xf numFmtId="0" fontId="51" fillId="0" borderId="20" xfId="95" applyFont="1" applyFill="1" applyBorder="1" applyAlignment="1">
      <alignment horizontal="right" vertical="center" shrinkToFit="1"/>
      <protection/>
    </xf>
    <xf numFmtId="3" fontId="53" fillId="0" borderId="20" xfId="65" applyNumberFormat="1" applyFont="1" applyFill="1" applyBorder="1" applyAlignment="1" applyProtection="1">
      <alignment vertical="center"/>
      <protection/>
    </xf>
    <xf numFmtId="3" fontId="51" fillId="0" borderId="20" xfId="120" applyNumberFormat="1" applyFont="1" applyFill="1" applyBorder="1" applyAlignment="1" applyProtection="1">
      <alignment vertical="center"/>
      <protection/>
    </xf>
    <xf numFmtId="49" fontId="51" fillId="0" borderId="20" xfId="0" applyNumberFormat="1" applyFont="1" applyFill="1" applyBorder="1" applyAlignment="1" applyProtection="1">
      <alignment vertical="center"/>
      <protection locked="0"/>
    </xf>
    <xf numFmtId="4" fontId="53" fillId="0" borderId="20" xfId="65" applyNumberFormat="1" applyFont="1" applyFill="1" applyBorder="1" applyAlignment="1" applyProtection="1">
      <alignment vertical="center"/>
      <protection locked="0"/>
    </xf>
    <xf numFmtId="4" fontId="51" fillId="0" borderId="20" xfId="65" applyNumberFormat="1" applyFont="1" applyFill="1" applyBorder="1" applyAlignment="1" applyProtection="1">
      <alignment vertical="center"/>
      <protection locked="0"/>
    </xf>
    <xf numFmtId="0" fontId="51" fillId="0" borderId="20" xfId="92" applyFont="1" applyFill="1" applyBorder="1" applyAlignment="1">
      <alignment horizontal="left" vertical="center"/>
      <protection/>
    </xf>
    <xf numFmtId="184" fontId="51" fillId="0" borderId="20" xfId="92" applyNumberFormat="1" applyFont="1" applyFill="1" applyBorder="1" applyAlignment="1">
      <alignment horizontal="center" vertical="center"/>
      <protection/>
    </xf>
    <xf numFmtId="0" fontId="51" fillId="0" borderId="20" xfId="92" applyFont="1" applyFill="1" applyBorder="1" applyAlignment="1">
      <alignment horizontal="right" vertical="center"/>
      <protection/>
    </xf>
    <xf numFmtId="0" fontId="51" fillId="0" borderId="20" xfId="92" applyNumberFormat="1" applyFont="1" applyFill="1" applyBorder="1" applyAlignment="1">
      <alignment horizontal="left" vertical="center"/>
      <protection/>
    </xf>
    <xf numFmtId="0" fontId="51" fillId="0" borderId="20" xfId="92" applyNumberFormat="1" applyFont="1" applyFill="1" applyBorder="1" applyAlignment="1">
      <alignment horizontal="right" vertical="center"/>
      <protection/>
    </xf>
    <xf numFmtId="2" fontId="51" fillId="0" borderId="20" xfId="92" applyNumberFormat="1" applyFont="1" applyFill="1" applyBorder="1" applyAlignment="1" applyProtection="1">
      <alignment horizontal="right" vertical="center"/>
      <protection/>
    </xf>
    <xf numFmtId="3" fontId="53" fillId="0" borderId="20" xfId="0" applyNumberFormat="1" applyFont="1" applyFill="1" applyBorder="1" applyAlignment="1">
      <alignment vertical="center"/>
    </xf>
    <xf numFmtId="3" fontId="53" fillId="0" borderId="20" xfId="65" applyNumberFormat="1" applyFont="1" applyFill="1" applyBorder="1" applyAlignment="1" applyProtection="1">
      <alignment vertical="center"/>
      <protection locked="0"/>
    </xf>
    <xf numFmtId="3" fontId="51" fillId="0" borderId="20" xfId="65" applyNumberFormat="1" applyFont="1" applyFill="1" applyBorder="1" applyAlignment="1" applyProtection="1">
      <alignment vertical="center"/>
      <protection locked="0"/>
    </xf>
    <xf numFmtId="3" fontId="51" fillId="0" borderId="20" xfId="65" applyNumberFormat="1" applyFont="1" applyFill="1" applyBorder="1" applyAlignment="1" applyProtection="1">
      <alignment vertical="center"/>
      <protection/>
    </xf>
    <xf numFmtId="2" fontId="51" fillId="0" borderId="20" xfId="65" applyNumberFormat="1" applyFont="1" applyFill="1" applyBorder="1" applyAlignment="1" applyProtection="1">
      <alignment vertical="center"/>
      <protection/>
    </xf>
    <xf numFmtId="0" fontId="51" fillId="0" borderId="25" xfId="0" applyNumberFormat="1" applyFont="1" applyFill="1" applyBorder="1" applyAlignment="1">
      <alignment horizontal="left" vertical="center"/>
    </xf>
    <xf numFmtId="184" fontId="51" fillId="0" borderId="21" xfId="0" applyNumberFormat="1" applyFont="1" applyFill="1" applyBorder="1" applyAlignment="1">
      <alignment horizontal="left" vertical="center"/>
    </xf>
    <xf numFmtId="0" fontId="51" fillId="0" borderId="21" xfId="95" applyNumberFormat="1" applyFont="1" applyFill="1" applyBorder="1" applyAlignment="1">
      <alignment horizontal="left" vertical="center"/>
      <protection/>
    </xf>
    <xf numFmtId="0" fontId="51" fillId="0" borderId="21" xfId="0" applyNumberFormat="1" applyFont="1" applyFill="1" applyBorder="1" applyAlignment="1">
      <alignment horizontal="right" vertical="center"/>
    </xf>
    <xf numFmtId="4" fontId="53" fillId="0" borderId="21" xfId="68" applyNumberFormat="1" applyFont="1" applyFill="1" applyBorder="1" applyAlignment="1" applyProtection="1">
      <alignment horizontal="right" vertical="center"/>
      <protection locked="0"/>
    </xf>
    <xf numFmtId="3" fontId="53" fillId="0" borderId="21" xfId="68" applyNumberFormat="1" applyFont="1" applyFill="1" applyBorder="1" applyAlignment="1" applyProtection="1">
      <alignment horizontal="right" vertical="center"/>
      <protection locked="0"/>
    </xf>
    <xf numFmtId="3" fontId="51" fillId="0" borderId="21" xfId="68" applyNumberFormat="1" applyFont="1" applyFill="1" applyBorder="1" applyAlignment="1" applyProtection="1">
      <alignment horizontal="right" vertical="center"/>
      <protection/>
    </xf>
    <xf numFmtId="2" fontId="51" fillId="0" borderId="21" xfId="68" applyNumberFormat="1" applyFont="1" applyFill="1" applyBorder="1" applyAlignment="1" applyProtection="1">
      <alignment horizontal="right" vertical="center"/>
      <protection/>
    </xf>
    <xf numFmtId="4" fontId="51" fillId="0" borderId="21" xfId="68" applyNumberFormat="1" applyFont="1" applyFill="1" applyBorder="1" applyAlignment="1" applyProtection="1">
      <alignment horizontal="right" vertical="center"/>
      <protection locked="0"/>
    </xf>
    <xf numFmtId="3" fontId="51" fillId="0" borderId="21" xfId="68" applyNumberFormat="1" applyFont="1" applyFill="1" applyBorder="1" applyAlignment="1" applyProtection="1">
      <alignment horizontal="right" vertical="center"/>
      <protection locked="0"/>
    </xf>
    <xf numFmtId="2" fontId="51" fillId="0" borderId="47" xfId="68" applyNumberFormat="1" applyFont="1" applyFill="1" applyBorder="1" applyAlignment="1" applyProtection="1">
      <alignment horizontal="right" vertical="center"/>
      <protection/>
    </xf>
    <xf numFmtId="0" fontId="51" fillId="0" borderId="41" xfId="0" applyFont="1" applyFill="1" applyBorder="1" applyAlignment="1">
      <alignment vertical="center"/>
    </xf>
    <xf numFmtId="0" fontId="51" fillId="0" borderId="41" xfId="0" applyFont="1" applyFill="1" applyBorder="1" applyAlignment="1">
      <alignment horizontal="left" vertical="center" shrinkToFit="1"/>
    </xf>
    <xf numFmtId="2" fontId="51" fillId="0" borderId="40" xfId="68" applyNumberFormat="1" applyFont="1" applyFill="1" applyBorder="1" applyAlignment="1" applyProtection="1">
      <alignment horizontal="right" vertical="center" shrinkToFit="1"/>
      <protection/>
    </xf>
    <xf numFmtId="0" fontId="51" fillId="0" borderId="41" xfId="0" applyFont="1" applyFill="1" applyBorder="1" applyAlignment="1" applyProtection="1">
      <alignment vertical="center"/>
      <protection locked="0"/>
    </xf>
    <xf numFmtId="2" fontId="51" fillId="0" borderId="40" xfId="67" applyNumberFormat="1" applyFont="1" applyFill="1" applyBorder="1" applyAlignment="1" applyProtection="1">
      <alignment vertical="center"/>
      <protection/>
    </xf>
    <xf numFmtId="2" fontId="51" fillId="0" borderId="40" xfId="120" applyNumberFormat="1" applyFont="1" applyFill="1" applyBorder="1" applyAlignment="1" applyProtection="1">
      <alignment vertical="center"/>
      <protection/>
    </xf>
    <xf numFmtId="0" fontId="51" fillId="0" borderId="41" xfId="0" applyFont="1" applyFill="1" applyBorder="1" applyAlignment="1">
      <alignment vertical="center"/>
    </xf>
    <xf numFmtId="2" fontId="51" fillId="0" borderId="40" xfId="0" applyNumberFormat="1" applyFont="1" applyFill="1" applyBorder="1" applyAlignment="1">
      <alignment horizontal="right"/>
    </xf>
    <xf numFmtId="0" fontId="51" fillId="0" borderId="41" xfId="0" applyNumberFormat="1" applyFont="1" applyFill="1" applyBorder="1" applyAlignment="1" applyProtection="1">
      <alignment vertical="center"/>
      <protection locked="0"/>
    </xf>
    <xf numFmtId="2" fontId="51" fillId="0" borderId="40" xfId="74" applyNumberFormat="1" applyFont="1" applyFill="1" applyBorder="1" applyAlignment="1" applyProtection="1">
      <alignment vertical="center"/>
      <protection/>
    </xf>
    <xf numFmtId="0" fontId="51" fillId="0" borderId="41" xfId="95" applyNumberFormat="1" applyFont="1" applyFill="1" applyBorder="1" applyAlignment="1">
      <alignment horizontal="left" vertical="center"/>
      <protection/>
    </xf>
    <xf numFmtId="0" fontId="51" fillId="0" borderId="41" xfId="95" applyFont="1" applyFill="1" applyBorder="1" applyAlignment="1">
      <alignment horizontal="left" vertical="center" shrinkToFit="1"/>
      <protection/>
    </xf>
    <xf numFmtId="0" fontId="51" fillId="0" borderId="41" xfId="95" applyFont="1" applyFill="1" applyBorder="1" applyAlignment="1">
      <alignment horizontal="left" vertical="center"/>
      <protection/>
    </xf>
    <xf numFmtId="0" fontId="51" fillId="0" borderId="41" xfId="95" applyFont="1" applyFill="1" applyBorder="1" applyAlignment="1">
      <alignment vertical="center"/>
      <protection/>
    </xf>
    <xf numFmtId="2" fontId="51" fillId="0" borderId="40" xfId="65" applyNumberFormat="1" applyFont="1" applyFill="1" applyBorder="1" applyAlignment="1" applyProtection="1">
      <alignment horizontal="right" vertical="center"/>
      <protection/>
    </xf>
    <xf numFmtId="0" fontId="51" fillId="0" borderId="41" xfId="92" applyFont="1" applyFill="1" applyBorder="1" applyAlignment="1">
      <alignment horizontal="left" vertical="center"/>
      <protection/>
    </xf>
    <xf numFmtId="0" fontId="51" fillId="0" borderId="41" xfId="92" applyNumberFormat="1" applyFont="1" applyFill="1" applyBorder="1" applyAlignment="1">
      <alignment horizontal="left" vertical="center"/>
      <protection/>
    </xf>
    <xf numFmtId="2" fontId="51" fillId="0" borderId="40" xfId="92" applyNumberFormat="1" applyFont="1" applyFill="1" applyBorder="1" applyAlignment="1" applyProtection="1">
      <alignment horizontal="right" vertical="center"/>
      <protection/>
    </xf>
    <xf numFmtId="0" fontId="51" fillId="0" borderId="41" xfId="92" applyFont="1" applyFill="1" applyBorder="1" applyAlignment="1">
      <alignment vertical="center"/>
      <protection/>
    </xf>
    <xf numFmtId="0" fontId="51" fillId="0" borderId="41" xfId="93" applyFont="1" applyFill="1" applyBorder="1" applyAlignment="1">
      <alignment horizontal="left" vertical="center" shrinkToFit="1"/>
      <protection/>
    </xf>
    <xf numFmtId="212" fontId="51" fillId="0" borderId="41" xfId="0" applyNumberFormat="1" applyFont="1" applyFill="1" applyBorder="1" applyAlignment="1">
      <alignment vertical="center"/>
    </xf>
    <xf numFmtId="212" fontId="51" fillId="0" borderId="41" xfId="0" applyNumberFormat="1" applyFont="1" applyFill="1" applyBorder="1" applyAlignment="1">
      <alignment horizontal="left" vertical="center" shrinkToFit="1"/>
    </xf>
    <xf numFmtId="2" fontId="51" fillId="0" borderId="40" xfId="65" applyNumberFormat="1" applyFont="1" applyFill="1" applyBorder="1" applyAlignment="1" applyProtection="1">
      <alignment vertical="center"/>
      <protection/>
    </xf>
    <xf numFmtId="193" fontId="27" fillId="0" borderId="32" xfId="0" applyNumberFormat="1" applyFont="1" applyFill="1" applyBorder="1" applyAlignment="1" applyProtection="1">
      <alignment horizontal="right" vertical="center"/>
      <protection/>
    </xf>
    <xf numFmtId="0" fontId="50" fillId="0" borderId="0" xfId="0" applyFont="1" applyFill="1" applyBorder="1" applyAlignment="1">
      <alignment horizontal="right"/>
    </xf>
    <xf numFmtId="4" fontId="40" fillId="0" borderId="0" xfId="0" applyNumberFormat="1" applyFont="1" applyFill="1" applyBorder="1" applyAlignment="1">
      <alignment horizontal="right"/>
    </xf>
    <xf numFmtId="4" fontId="9" fillId="0" borderId="20" xfId="0" applyNumberFormat="1" applyFont="1" applyFill="1" applyBorder="1" applyAlignment="1">
      <alignment horizontal="right" vertical="center"/>
    </xf>
    <xf numFmtId="193" fontId="27" fillId="0" borderId="20" xfId="0" applyNumberFormat="1" applyFont="1" applyFill="1" applyBorder="1" applyAlignment="1">
      <alignment horizontal="right" vertical="center"/>
    </xf>
    <xf numFmtId="0" fontId="8" fillId="0" borderId="38" xfId="0" applyNumberFormat="1" applyFont="1" applyFill="1" applyBorder="1" applyAlignment="1" applyProtection="1">
      <alignment horizontal="right" vertical="center"/>
      <protection locked="0"/>
    </xf>
    <xf numFmtId="184" fontId="51" fillId="0" borderId="20" xfId="0" applyNumberFormat="1" applyFont="1" applyFill="1" applyBorder="1" applyAlignment="1">
      <alignment vertical="center"/>
    </xf>
    <xf numFmtId="192" fontId="51" fillId="0" borderId="20" xfId="68" applyNumberFormat="1" applyFont="1" applyFill="1" applyBorder="1" applyAlignment="1" applyProtection="1">
      <alignment horizontal="right" vertical="center"/>
      <protection/>
    </xf>
    <xf numFmtId="184" fontId="51" fillId="0" borderId="20" xfId="0" applyNumberFormat="1" applyFont="1" applyFill="1" applyBorder="1" applyAlignment="1" applyProtection="1">
      <alignment vertical="center"/>
      <protection locked="0"/>
    </xf>
    <xf numFmtId="192" fontId="51" fillId="0" borderId="20" xfId="67" applyNumberFormat="1" applyFont="1" applyFill="1" applyBorder="1" applyAlignment="1" applyProtection="1">
      <alignment horizontal="right" vertical="center"/>
      <protection/>
    </xf>
    <xf numFmtId="192" fontId="51" fillId="0" borderId="20" xfId="0" applyNumberFormat="1" applyFont="1" applyFill="1" applyBorder="1" applyAlignment="1">
      <alignment horizontal="right" vertical="center"/>
    </xf>
    <xf numFmtId="192" fontId="51" fillId="0" borderId="20" xfId="0" applyNumberFormat="1" applyFont="1" applyFill="1" applyBorder="1" applyAlignment="1" applyProtection="1">
      <alignment horizontal="right" vertical="center"/>
      <protection/>
    </xf>
    <xf numFmtId="184" fontId="51" fillId="0" borderId="20" xfId="92" applyNumberFormat="1" applyFont="1" applyFill="1" applyBorder="1" applyAlignment="1">
      <alignment vertical="center"/>
      <protection/>
    </xf>
    <xf numFmtId="192" fontId="51" fillId="0" borderId="40" xfId="67" applyNumberFormat="1" applyFont="1" applyFill="1" applyBorder="1" applyAlignment="1" applyProtection="1">
      <alignment horizontal="right" vertical="center"/>
      <protection/>
    </xf>
    <xf numFmtId="192" fontId="51" fillId="0" borderId="40" xfId="0" applyNumberFormat="1" applyFont="1" applyFill="1" applyBorder="1" applyAlignment="1">
      <alignment horizontal="right" vertical="center"/>
    </xf>
    <xf numFmtId="192" fontId="51" fillId="0" borderId="40" xfId="68" applyNumberFormat="1" applyFont="1" applyFill="1" applyBorder="1" applyAlignment="1" applyProtection="1">
      <alignment horizontal="right" vertical="center"/>
      <protection/>
    </xf>
    <xf numFmtId="192" fontId="51" fillId="0" borderId="40" xfId="0" applyNumberFormat="1" applyFont="1" applyFill="1" applyBorder="1" applyAlignment="1" applyProtection="1">
      <alignment horizontal="right" vertical="center"/>
      <protection/>
    </xf>
    <xf numFmtId="0" fontId="8" fillId="0" borderId="38" xfId="0" applyNumberFormat="1" applyFont="1" applyFill="1" applyBorder="1" applyAlignment="1" applyProtection="1">
      <alignment horizontal="right" vertical="center"/>
      <protection locked="0"/>
    </xf>
    <xf numFmtId="0" fontId="40" fillId="0" borderId="38" xfId="0" applyFont="1" applyFill="1" applyBorder="1" applyAlignment="1" applyProtection="1">
      <alignment horizontal="right" wrapText="1"/>
      <protection locked="0"/>
    </xf>
    <xf numFmtId="0" fontId="40" fillId="0" borderId="48" xfId="0" applyFont="1" applyFill="1" applyBorder="1" applyAlignment="1" applyProtection="1">
      <alignment horizontal="right" wrapText="1"/>
      <protection locked="0"/>
    </xf>
    <xf numFmtId="0" fontId="8" fillId="0" borderId="38" xfId="0" applyFont="1" applyFill="1" applyBorder="1" applyAlignment="1">
      <alignment horizontal="right"/>
    </xf>
    <xf numFmtId="0" fontId="28" fillId="0" borderId="38" xfId="0" applyFont="1" applyFill="1" applyBorder="1" applyAlignment="1">
      <alignment horizontal="right"/>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lignment horizontal="right"/>
    </xf>
    <xf numFmtId="0" fontId="28" fillId="0" borderId="37" xfId="0" applyFont="1" applyFill="1" applyBorder="1" applyAlignment="1">
      <alignment horizontal="right"/>
    </xf>
    <xf numFmtId="192" fontId="13" fillId="0" borderId="19" xfId="0" applyNumberFormat="1" applyFont="1" applyBorder="1" applyAlignment="1">
      <alignment horizontal="right" vertical="center"/>
    </xf>
    <xf numFmtId="192" fontId="13" fillId="0" borderId="20" xfId="0" applyNumberFormat="1" applyFont="1" applyBorder="1" applyAlignment="1">
      <alignment horizontal="right" vertical="center"/>
    </xf>
    <xf numFmtId="0" fontId="51" fillId="0" borderId="20" xfId="0" applyFont="1" applyFill="1" applyBorder="1" applyAlignment="1">
      <alignment horizontal="left" vertical="center" shrinkToFit="1"/>
    </xf>
    <xf numFmtId="0" fontId="8" fillId="0" borderId="38" xfId="0" applyFont="1" applyFill="1" applyBorder="1" applyAlignment="1" applyProtection="1">
      <alignment horizontal="right" vertical="center" shrinkToFit="1"/>
      <protection locked="0"/>
    </xf>
    <xf numFmtId="0" fontId="8" fillId="0" borderId="38" xfId="0" applyFont="1" applyFill="1" applyBorder="1" applyAlignment="1" applyProtection="1">
      <alignment horizontal="right" vertical="center"/>
      <protection locked="0"/>
    </xf>
    <xf numFmtId="0" fontId="8" fillId="0" borderId="38" xfId="0" applyFont="1" applyFill="1" applyBorder="1" applyAlignment="1" applyProtection="1">
      <alignment horizontal="right" vertical="center"/>
      <protection locked="0"/>
    </xf>
    <xf numFmtId="0" fontId="8" fillId="0" borderId="38" xfId="92" applyFont="1" applyFill="1" applyBorder="1" applyAlignment="1" applyProtection="1">
      <alignment horizontal="right" vertical="center"/>
      <protection locked="0"/>
    </xf>
    <xf numFmtId="0" fontId="8" fillId="0" borderId="38" xfId="0" applyFont="1" applyFill="1" applyBorder="1" applyAlignment="1">
      <alignment horizontal="right" vertical="center"/>
    </xf>
    <xf numFmtId="0" fontId="8" fillId="0" borderId="38" xfId="92" applyFont="1" applyFill="1" applyBorder="1" applyAlignment="1" applyProtection="1">
      <alignment horizontal="right" vertical="center" shrinkToFit="1"/>
      <protection locked="0"/>
    </xf>
    <xf numFmtId="184" fontId="51" fillId="0" borderId="20" xfId="99" applyNumberFormat="1" applyFont="1" applyFill="1" applyBorder="1" applyAlignment="1">
      <alignment horizontal="center" vertical="center"/>
      <protection/>
    </xf>
    <xf numFmtId="0" fontId="51" fillId="0" borderId="20" xfId="99" applyFont="1" applyFill="1" applyBorder="1" applyAlignment="1">
      <alignment horizontal="left" vertical="center"/>
      <protection/>
    </xf>
    <xf numFmtId="0" fontId="51" fillId="0" borderId="20" xfId="99" applyFont="1" applyFill="1" applyBorder="1" applyAlignment="1">
      <alignment horizontal="right" vertical="center"/>
      <protection/>
    </xf>
    <xf numFmtId="0" fontId="51" fillId="0" borderId="20" xfId="99" applyFont="1" applyFill="1" applyBorder="1" applyAlignment="1" applyProtection="1">
      <alignment horizontal="left" vertical="center"/>
      <protection locked="0"/>
    </xf>
    <xf numFmtId="184" fontId="51" fillId="0" borderId="20" xfId="99" applyNumberFormat="1" applyFont="1" applyFill="1" applyBorder="1" applyAlignment="1" applyProtection="1">
      <alignment horizontal="center" vertical="center"/>
      <protection locked="0"/>
    </xf>
    <xf numFmtId="0" fontId="51" fillId="0" borderId="20" xfId="99" applyFont="1" applyFill="1" applyBorder="1" applyAlignment="1" applyProtection="1">
      <alignment horizontal="right" vertical="center"/>
      <protection locked="0"/>
    </xf>
    <xf numFmtId="49" fontId="51" fillId="0" borderId="20" xfId="99" applyNumberFormat="1" applyFont="1" applyFill="1" applyBorder="1" applyAlignment="1" applyProtection="1">
      <alignment horizontal="left" vertical="center"/>
      <protection locked="0"/>
    </xf>
    <xf numFmtId="0" fontId="51" fillId="0" borderId="20" xfId="99" applyNumberFormat="1" applyFont="1" applyFill="1" applyBorder="1" applyAlignment="1" applyProtection="1">
      <alignment horizontal="right" vertical="center"/>
      <protection locked="0"/>
    </xf>
    <xf numFmtId="4" fontId="53" fillId="0" borderId="20" xfId="99" applyNumberFormat="1" applyFont="1" applyFill="1" applyBorder="1" applyAlignment="1" applyProtection="1">
      <alignment horizontal="right" vertical="center"/>
      <protection locked="0"/>
    </xf>
    <xf numFmtId="3" fontId="53" fillId="0" borderId="20" xfId="99" applyNumberFormat="1" applyFont="1" applyFill="1" applyBorder="1" applyAlignment="1" applyProtection="1">
      <alignment horizontal="right" vertical="center"/>
      <protection locked="0"/>
    </xf>
    <xf numFmtId="4" fontId="51" fillId="0" borderId="20" xfId="99" applyNumberFormat="1" applyFont="1" applyFill="1" applyBorder="1" applyAlignment="1" applyProtection="1">
      <alignment horizontal="right" vertical="center"/>
      <protection locked="0"/>
    </xf>
    <xf numFmtId="3" fontId="51" fillId="0" borderId="20" xfId="99" applyNumberFormat="1" applyFont="1" applyFill="1" applyBorder="1" applyAlignment="1" applyProtection="1">
      <alignment horizontal="right" vertical="center"/>
      <protection locked="0"/>
    </xf>
    <xf numFmtId="184" fontId="51" fillId="0" borderId="20" xfId="101" applyNumberFormat="1" applyFont="1" applyFill="1" applyBorder="1" applyAlignment="1">
      <alignment horizontal="center" vertical="center"/>
      <protection/>
    </xf>
    <xf numFmtId="14" fontId="51" fillId="0" borderId="20" xfId="101" applyNumberFormat="1" applyFont="1" applyFill="1" applyBorder="1" applyAlignment="1">
      <alignment horizontal="left" vertical="center"/>
      <protection/>
    </xf>
    <xf numFmtId="0" fontId="51" fillId="0" borderId="20" xfId="101" applyFont="1" applyFill="1" applyBorder="1" applyAlignment="1">
      <alignment horizontal="right" vertical="center"/>
      <protection/>
    </xf>
    <xf numFmtId="4" fontId="53" fillId="0" borderId="20" xfId="101" applyNumberFormat="1" applyFont="1" applyFill="1" applyBorder="1" applyAlignment="1">
      <alignment horizontal="right" vertical="center"/>
      <protection/>
    </xf>
    <xf numFmtId="3" fontId="53" fillId="0" borderId="20" xfId="101" applyNumberFormat="1" applyFont="1" applyFill="1" applyBorder="1" applyAlignment="1">
      <alignment horizontal="right" vertical="center"/>
      <protection/>
    </xf>
    <xf numFmtId="4" fontId="51" fillId="0" borderId="20" xfId="101" applyNumberFormat="1" applyFont="1" applyFill="1" applyBorder="1" applyAlignment="1">
      <alignment horizontal="right" vertical="center"/>
      <protection/>
    </xf>
    <xf numFmtId="3" fontId="51" fillId="0" borderId="20" xfId="101" applyNumberFormat="1" applyFont="1" applyFill="1" applyBorder="1" applyAlignment="1">
      <alignment horizontal="right" vertical="center"/>
      <protection/>
    </xf>
    <xf numFmtId="0" fontId="51" fillId="0" borderId="20" xfId="100" applyFont="1" applyFill="1" applyBorder="1" applyAlignment="1">
      <alignment horizontal="left" vertical="center"/>
      <protection/>
    </xf>
    <xf numFmtId="184" fontId="51" fillId="0" borderId="20" xfId="100" applyNumberFormat="1" applyFont="1" applyFill="1" applyBorder="1" applyAlignment="1">
      <alignment horizontal="center" vertical="center"/>
      <protection/>
    </xf>
    <xf numFmtId="0" fontId="51" fillId="0" borderId="20" xfId="100" applyFont="1" applyFill="1" applyBorder="1" applyAlignment="1">
      <alignment horizontal="right" vertical="center"/>
      <protection/>
    </xf>
    <xf numFmtId="4" fontId="53" fillId="0" borderId="20" xfId="100" applyNumberFormat="1" applyFont="1" applyFill="1" applyBorder="1" applyAlignment="1">
      <alignment horizontal="right" vertical="center"/>
      <protection/>
    </xf>
    <xf numFmtId="3" fontId="53" fillId="0" borderId="20" xfId="100" applyNumberFormat="1" applyFont="1" applyFill="1" applyBorder="1" applyAlignment="1">
      <alignment horizontal="right" vertical="center"/>
      <protection/>
    </xf>
    <xf numFmtId="4" fontId="53" fillId="0" borderId="20" xfId="96" applyNumberFormat="1" applyFont="1" applyFill="1" applyBorder="1" applyAlignment="1" applyProtection="1">
      <alignment horizontal="right" vertical="center"/>
      <protection/>
    </xf>
    <xf numFmtId="3" fontId="53" fillId="0" borderId="20" xfId="96" applyNumberFormat="1" applyFont="1" applyFill="1" applyBorder="1" applyAlignment="1" applyProtection="1">
      <alignment horizontal="right" vertical="center"/>
      <protection/>
    </xf>
    <xf numFmtId="49" fontId="51" fillId="0" borderId="38" xfId="99" applyNumberFormat="1" applyFont="1" applyFill="1" applyBorder="1" applyAlignment="1" applyProtection="1">
      <alignment horizontal="right" vertical="center"/>
      <protection locked="0"/>
    </xf>
    <xf numFmtId="0" fontId="51" fillId="0" borderId="41" xfId="99" applyFont="1" applyFill="1" applyBorder="1" applyAlignment="1" applyProtection="1">
      <alignment horizontal="left" vertical="center"/>
      <protection locked="0"/>
    </xf>
    <xf numFmtId="0" fontId="51" fillId="0" borderId="41" xfId="99" applyNumberFormat="1" applyFont="1" applyFill="1" applyBorder="1" applyAlignment="1" applyProtection="1">
      <alignment horizontal="left" vertical="center"/>
      <protection locked="0"/>
    </xf>
    <xf numFmtId="0" fontId="51" fillId="0" borderId="41" xfId="99" applyFont="1" applyFill="1" applyBorder="1" applyAlignment="1">
      <alignment horizontal="left" vertical="center"/>
      <protection/>
    </xf>
    <xf numFmtId="0" fontId="51" fillId="0" borderId="41" xfId="101" applyFont="1" applyFill="1" applyBorder="1" applyAlignment="1">
      <alignment horizontal="left" vertical="center"/>
      <protection/>
    </xf>
    <xf numFmtId="2" fontId="51" fillId="0" borderId="40" xfId="101" applyNumberFormat="1" applyFont="1" applyFill="1" applyBorder="1" applyAlignment="1">
      <alignment horizontal="right" vertical="center"/>
      <protection/>
    </xf>
    <xf numFmtId="0" fontId="51" fillId="0" borderId="41" xfId="100" applyFont="1" applyFill="1" applyBorder="1" applyAlignment="1">
      <alignment horizontal="left" vertical="center"/>
      <protection/>
    </xf>
    <xf numFmtId="4" fontId="53" fillId="0" borderId="19" xfId="67" applyNumberFormat="1" applyFont="1" applyFill="1" applyBorder="1" applyAlignment="1" applyProtection="1">
      <alignment horizontal="right" vertical="center"/>
      <protection locked="0"/>
    </xf>
    <xf numFmtId="3" fontId="53" fillId="0" borderId="19" xfId="67" applyNumberFormat="1" applyFont="1" applyFill="1" applyBorder="1" applyAlignment="1" applyProtection="1">
      <alignment horizontal="right" vertical="center"/>
      <protection locked="0"/>
    </xf>
    <xf numFmtId="2" fontId="51" fillId="0" borderId="49" xfId="67" applyNumberFormat="1" applyFont="1" applyFill="1" applyBorder="1" applyAlignment="1" applyProtection="1">
      <alignment horizontal="right" vertical="center"/>
      <protection/>
    </xf>
    <xf numFmtId="0" fontId="51" fillId="0" borderId="20" xfId="98" applyFont="1" applyFill="1" applyBorder="1" applyAlignment="1" applyProtection="1">
      <alignment horizontal="left" vertical="center"/>
      <protection locked="0"/>
    </xf>
    <xf numFmtId="184" fontId="51" fillId="0" borderId="20" xfId="98" applyNumberFormat="1" applyFont="1" applyFill="1" applyBorder="1" applyAlignment="1" applyProtection="1">
      <alignment horizontal="center" vertical="center"/>
      <protection locked="0"/>
    </xf>
    <xf numFmtId="0" fontId="51" fillId="0" borderId="20" xfId="98" applyFont="1" applyFill="1" applyBorder="1" applyAlignment="1" applyProtection="1">
      <alignment horizontal="right" vertical="center"/>
      <protection locked="0"/>
    </xf>
    <xf numFmtId="0" fontId="51" fillId="0" borderId="41" xfId="98" applyFont="1" applyFill="1" applyBorder="1" applyAlignment="1">
      <alignment horizontal="left" vertical="center"/>
      <protection/>
    </xf>
    <xf numFmtId="0" fontId="51" fillId="0" borderId="41" xfId="98" applyFont="1" applyFill="1" applyBorder="1" applyAlignment="1" applyProtection="1">
      <alignment horizontal="left" vertical="center"/>
      <protection locked="0"/>
    </xf>
    <xf numFmtId="0" fontId="51" fillId="0" borderId="41" xfId="98" applyNumberFormat="1" applyFont="1" applyFill="1" applyBorder="1" applyAlignment="1" applyProtection="1">
      <alignment horizontal="left" vertical="center"/>
      <protection locked="0"/>
    </xf>
    <xf numFmtId="184" fontId="51" fillId="0" borderId="20" xfId="98" applyNumberFormat="1" applyFont="1" applyFill="1" applyBorder="1" applyAlignment="1">
      <alignment horizontal="center" vertical="center"/>
      <protection/>
    </xf>
    <xf numFmtId="0" fontId="51" fillId="0" borderId="20" xfId="98" applyFont="1" applyFill="1" applyBorder="1" applyAlignment="1">
      <alignment horizontal="left" vertical="center"/>
      <protection/>
    </xf>
    <xf numFmtId="0" fontId="51" fillId="0" borderId="20" xfId="98" applyNumberFormat="1" applyFont="1" applyFill="1" applyBorder="1" applyAlignment="1" applyProtection="1">
      <alignment horizontal="left" vertical="center"/>
      <protection locked="0"/>
    </xf>
    <xf numFmtId="0" fontId="51" fillId="0" borderId="20" xfId="0" applyFont="1" applyFill="1" applyBorder="1" applyAlignment="1">
      <alignment horizontal="right" vertical="center"/>
    </xf>
    <xf numFmtId="0" fontId="51" fillId="0" borderId="20" xfId="98" applyFont="1" applyFill="1" applyBorder="1" applyAlignment="1">
      <alignment horizontal="right" vertical="center"/>
      <protection/>
    </xf>
    <xf numFmtId="0" fontId="51" fillId="0" borderId="20" xfId="98" applyNumberFormat="1" applyFont="1" applyFill="1" applyBorder="1" applyAlignment="1" applyProtection="1">
      <alignment horizontal="right" vertical="center"/>
      <protection locked="0"/>
    </xf>
    <xf numFmtId="4" fontId="53" fillId="0" borderId="20" xfId="98" applyNumberFormat="1" applyFont="1" applyFill="1" applyBorder="1" applyAlignment="1">
      <alignment horizontal="right" vertical="center"/>
      <protection/>
    </xf>
    <xf numFmtId="3" fontId="53" fillId="0" borderId="20" xfId="98" applyNumberFormat="1" applyFont="1" applyFill="1" applyBorder="1" applyAlignment="1">
      <alignment horizontal="right" vertical="center"/>
      <protection/>
    </xf>
    <xf numFmtId="3" fontId="53" fillId="0" borderId="20" xfId="74" applyNumberFormat="1" applyFont="1" applyFill="1" applyBorder="1" applyAlignment="1" applyProtection="1">
      <alignment vertical="center"/>
      <protection locked="0"/>
    </xf>
    <xf numFmtId="3" fontId="51" fillId="0" borderId="20" xfId="74" applyNumberFormat="1" applyFont="1" applyFill="1" applyBorder="1" applyAlignment="1" applyProtection="1">
      <alignment vertical="center"/>
      <protection/>
    </xf>
    <xf numFmtId="2" fontId="51" fillId="0" borderId="20" xfId="0" applyNumberFormat="1" applyFont="1" applyFill="1" applyBorder="1" applyAlignment="1">
      <alignment vertical="center"/>
    </xf>
    <xf numFmtId="4" fontId="51" fillId="0" borderId="20" xfId="98" applyNumberFormat="1" applyFont="1" applyFill="1" applyBorder="1" applyAlignment="1">
      <alignment horizontal="right" vertical="center"/>
      <protection/>
    </xf>
    <xf numFmtId="3" fontId="51" fillId="0" borderId="20" xfId="98" applyNumberFormat="1" applyFont="1" applyFill="1" applyBorder="1" applyAlignment="1">
      <alignment horizontal="right" vertical="center"/>
      <protection/>
    </xf>
    <xf numFmtId="3" fontId="51" fillId="0" borderId="20" xfId="74" applyNumberFormat="1" applyFont="1" applyFill="1" applyBorder="1" applyAlignment="1" applyProtection="1">
      <alignment vertical="center"/>
      <protection locked="0"/>
    </xf>
    <xf numFmtId="49" fontId="51" fillId="0" borderId="38" xfId="98" applyNumberFormat="1" applyFont="1" applyFill="1" applyBorder="1" applyAlignment="1">
      <alignment horizontal="right" vertical="center"/>
      <protection/>
    </xf>
    <xf numFmtId="49" fontId="51" fillId="0" borderId="38" xfId="98" applyNumberFormat="1" applyFont="1" applyFill="1" applyBorder="1" applyAlignment="1" applyProtection="1">
      <alignment horizontal="right" vertical="center"/>
      <protection locked="0"/>
    </xf>
    <xf numFmtId="0" fontId="51" fillId="0" borderId="41" xfId="0" applyFont="1" applyFill="1" applyBorder="1" applyAlignment="1">
      <alignment vertical="center"/>
    </xf>
    <xf numFmtId="0" fontId="51" fillId="0" borderId="50" xfId="0" applyFont="1" applyFill="1" applyBorder="1" applyAlignment="1">
      <alignment horizontal="left"/>
    </xf>
    <xf numFmtId="184" fontId="51" fillId="0" borderId="51" xfId="0" applyNumberFormat="1" applyFont="1" applyFill="1" applyBorder="1" applyAlignment="1">
      <alignment horizontal="center" wrapText="1"/>
    </xf>
    <xf numFmtId="14" fontId="51" fillId="0" borderId="51" xfId="0" applyNumberFormat="1" applyFont="1" applyFill="1" applyBorder="1" applyAlignment="1">
      <alignment horizontal="left"/>
    </xf>
    <xf numFmtId="0" fontId="51" fillId="0" borderId="51" xfId="0" applyFont="1" applyFill="1" applyBorder="1" applyAlignment="1">
      <alignment horizontal="right"/>
    </xf>
    <xf numFmtId="4" fontId="53" fillId="0" borderId="51" xfId="0" applyNumberFormat="1" applyFont="1" applyFill="1" applyBorder="1" applyAlignment="1">
      <alignment horizontal="right"/>
    </xf>
    <xf numFmtId="3" fontId="53" fillId="0" borderId="51" xfId="0" applyNumberFormat="1" applyFont="1" applyFill="1" applyBorder="1" applyAlignment="1">
      <alignment horizontal="right"/>
    </xf>
    <xf numFmtId="3" fontId="51" fillId="0" borderId="51" xfId="0" applyNumberFormat="1" applyFont="1" applyFill="1" applyBorder="1" applyAlignment="1">
      <alignment horizontal="right"/>
    </xf>
    <xf numFmtId="2" fontId="51" fillId="0" borderId="51" xfId="0" applyNumberFormat="1" applyFont="1" applyFill="1" applyBorder="1" applyAlignment="1">
      <alignment horizontal="right"/>
    </xf>
    <xf numFmtId="4" fontId="51" fillId="0" borderId="51" xfId="0" applyNumberFormat="1" applyFont="1" applyFill="1" applyBorder="1" applyAlignment="1">
      <alignment horizontal="right"/>
    </xf>
    <xf numFmtId="3" fontId="51" fillId="0" borderId="51" xfId="0" applyNumberFormat="1" applyFont="1" applyFill="1" applyBorder="1" applyAlignment="1">
      <alignment horizontal="right"/>
    </xf>
    <xf numFmtId="2" fontId="51" fillId="0" borderId="52" xfId="0" applyNumberFormat="1" applyFont="1" applyFill="1" applyBorder="1" applyAlignment="1">
      <alignment horizontal="right"/>
    </xf>
    <xf numFmtId="0" fontId="51" fillId="0" borderId="20" xfId="99" applyFont="1" applyFill="1" applyBorder="1" applyAlignment="1">
      <alignment horizontal="right"/>
      <protection/>
    </xf>
    <xf numFmtId="3" fontId="53" fillId="0" borderId="20" xfId="99" applyNumberFormat="1" applyFont="1" applyFill="1" applyBorder="1" applyAlignment="1">
      <alignment horizontal="right" vertical="center"/>
      <protection/>
    </xf>
    <xf numFmtId="0" fontId="51" fillId="0" borderId="20" xfId="99" applyFont="1" applyFill="1" applyBorder="1" applyAlignment="1">
      <alignment horizontal="left" vertical="center" shrinkToFit="1"/>
      <protection/>
    </xf>
    <xf numFmtId="184" fontId="51" fillId="0" borderId="20" xfId="99" applyNumberFormat="1" applyFont="1" applyFill="1" applyBorder="1" applyAlignment="1">
      <alignment horizontal="center" vertical="center" shrinkToFit="1"/>
      <protection/>
    </xf>
    <xf numFmtId="0" fontId="51" fillId="0" borderId="20" xfId="99" applyNumberFormat="1" applyFont="1" applyFill="1" applyBorder="1" applyAlignment="1">
      <alignment horizontal="left" vertical="center"/>
      <protection/>
    </xf>
    <xf numFmtId="0" fontId="51" fillId="0" borderId="20" xfId="99" applyNumberFormat="1" applyFont="1" applyFill="1" applyBorder="1" applyAlignment="1">
      <alignment horizontal="right" vertical="center"/>
      <protection/>
    </xf>
    <xf numFmtId="184" fontId="51" fillId="0" borderId="20" xfId="99" applyNumberFormat="1" applyFont="1" applyFill="1" applyBorder="1" applyAlignment="1">
      <alignment horizontal="center" wrapText="1"/>
      <protection/>
    </xf>
    <xf numFmtId="14" fontId="51" fillId="0" borderId="20" xfId="99" applyNumberFormat="1" applyFont="1" applyFill="1" applyBorder="1" applyAlignment="1">
      <alignment horizontal="left"/>
      <protection/>
    </xf>
    <xf numFmtId="4" fontId="53" fillId="0" borderId="20" xfId="99" applyNumberFormat="1" applyFont="1" applyFill="1" applyBorder="1" applyAlignment="1">
      <alignment horizontal="right"/>
      <protection/>
    </xf>
    <xf numFmtId="3" fontId="53" fillId="0" borderId="20" xfId="99" applyNumberFormat="1" applyFont="1" applyFill="1" applyBorder="1" applyAlignment="1">
      <alignment horizontal="right"/>
      <protection/>
    </xf>
    <xf numFmtId="0" fontId="51" fillId="0" borderId="20" xfId="97" applyFont="1" applyFill="1" applyBorder="1" applyAlignment="1">
      <alignment horizontal="left" vertical="center"/>
      <protection/>
    </xf>
    <xf numFmtId="184" fontId="51" fillId="0" borderId="20" xfId="97" applyNumberFormat="1" applyFont="1" applyFill="1" applyBorder="1" applyAlignment="1">
      <alignment horizontal="center" vertical="center"/>
      <protection/>
    </xf>
    <xf numFmtId="0" fontId="51" fillId="0" borderId="20" xfId="97" applyFont="1" applyFill="1" applyBorder="1" applyAlignment="1">
      <alignment horizontal="right" vertical="center"/>
      <protection/>
    </xf>
    <xf numFmtId="4" fontId="53" fillId="0" borderId="20" xfId="97" applyNumberFormat="1" applyFont="1" applyFill="1" applyBorder="1" applyAlignment="1">
      <alignment horizontal="right" vertical="center"/>
      <protection/>
    </xf>
    <xf numFmtId="3" fontId="53" fillId="0" borderId="20" xfId="97" applyNumberFormat="1" applyFont="1" applyFill="1" applyBorder="1" applyAlignment="1">
      <alignment horizontal="right" vertical="center"/>
      <protection/>
    </xf>
    <xf numFmtId="3" fontId="53" fillId="0" borderId="20" xfId="99" applyNumberFormat="1" applyFont="1" applyFill="1" applyBorder="1" applyAlignment="1">
      <alignment horizontal="right"/>
      <protection/>
    </xf>
    <xf numFmtId="4" fontId="53" fillId="0" borderId="20" xfId="99" applyNumberFormat="1" applyFont="1" applyFill="1" applyBorder="1" applyAlignment="1">
      <alignment horizontal="right" vertical="center"/>
      <protection/>
    </xf>
    <xf numFmtId="0" fontId="51" fillId="0" borderId="20" xfId="99" applyNumberFormat="1" applyFont="1" applyFill="1" applyBorder="1" applyAlignment="1">
      <alignment horizontal="left" vertical="center"/>
      <protection/>
    </xf>
    <xf numFmtId="184" fontId="51" fillId="0" borderId="20" xfId="99" applyNumberFormat="1" applyFont="1" applyFill="1" applyBorder="1" applyAlignment="1">
      <alignment horizontal="center" vertical="center"/>
      <protection/>
    </xf>
    <xf numFmtId="0" fontId="51" fillId="0" borderId="20" xfId="99" applyNumberFormat="1" applyFont="1" applyFill="1" applyBorder="1" applyAlignment="1">
      <alignment horizontal="right" vertical="center"/>
      <protection/>
    </xf>
    <xf numFmtId="4" fontId="53" fillId="0" borderId="20" xfId="99" applyNumberFormat="1" applyFont="1" applyFill="1" applyBorder="1" applyAlignment="1">
      <alignment horizontal="right" vertical="center"/>
      <protection/>
    </xf>
    <xf numFmtId="3" fontId="53" fillId="0" borderId="20" xfId="99" applyNumberFormat="1" applyFont="1" applyFill="1" applyBorder="1" applyAlignment="1">
      <alignment horizontal="right" vertical="center"/>
      <protection/>
    </xf>
    <xf numFmtId="0" fontId="51" fillId="0" borderId="41" xfId="99" applyNumberFormat="1" applyFont="1" applyFill="1" applyBorder="1" applyAlignment="1">
      <alignment horizontal="left" vertical="center"/>
      <protection/>
    </xf>
    <xf numFmtId="0" fontId="51" fillId="0" borderId="41" xfId="99" applyFont="1" applyFill="1" applyBorder="1" applyAlignment="1">
      <alignment horizontal="left"/>
      <protection/>
    </xf>
    <xf numFmtId="0" fontId="51" fillId="0" borderId="41" xfId="97" applyFont="1" applyFill="1" applyBorder="1" applyAlignment="1">
      <alignment horizontal="left" vertical="center"/>
      <protection/>
    </xf>
    <xf numFmtId="0" fontId="51" fillId="0" borderId="41" xfId="99" applyFont="1" applyFill="1" applyBorder="1" applyAlignment="1">
      <alignment horizontal="left"/>
      <protection/>
    </xf>
    <xf numFmtId="0" fontId="51" fillId="0" borderId="41" xfId="99" applyNumberFormat="1" applyFont="1" applyFill="1" applyBorder="1" applyAlignment="1">
      <alignment horizontal="left" vertical="center"/>
      <protection/>
    </xf>
    <xf numFmtId="212" fontId="51" fillId="0" borderId="41" xfId="99" applyNumberFormat="1" applyFont="1" applyFill="1" applyBorder="1" applyAlignment="1">
      <alignment horizontal="left" vertical="center" shrinkToFit="1"/>
      <protection/>
    </xf>
    <xf numFmtId="0" fontId="51" fillId="0" borderId="41" xfId="99" applyFont="1" applyFill="1" applyBorder="1" applyAlignment="1" applyProtection="1">
      <alignment horizontal="left" vertical="center" shrinkToFit="1"/>
      <protection locked="0"/>
    </xf>
    <xf numFmtId="49" fontId="8" fillId="0" borderId="38" xfId="97" applyNumberFormat="1" applyFont="1" applyFill="1" applyBorder="1" applyAlignment="1">
      <alignment horizontal="right" vertical="center"/>
      <protection/>
    </xf>
    <xf numFmtId="0" fontId="8" fillId="0" borderId="38" xfId="99" applyFont="1" applyFill="1" applyBorder="1" applyAlignment="1" applyProtection="1">
      <alignment horizontal="right" vertical="center"/>
      <protection locked="0"/>
    </xf>
    <xf numFmtId="0" fontId="8" fillId="0" borderId="38" xfId="99" applyFont="1" applyFill="1" applyBorder="1" applyAlignment="1" applyProtection="1">
      <alignment horizontal="right" vertical="center" shrinkToFit="1"/>
      <protection locked="0"/>
    </xf>
    <xf numFmtId="0" fontId="8" fillId="0" borderId="38" xfId="99" applyNumberFormat="1" applyFont="1" applyFill="1" applyBorder="1" applyAlignment="1" applyProtection="1">
      <alignment horizontal="right" vertical="center"/>
      <protection locked="0"/>
    </xf>
    <xf numFmtId="0" fontId="8" fillId="0" borderId="38" xfId="99" applyFont="1" applyFill="1" applyBorder="1" applyAlignment="1">
      <alignment horizontal="right" vertical="center"/>
      <protection/>
    </xf>
    <xf numFmtId="49" fontId="51" fillId="0" borderId="20" xfId="0" applyNumberFormat="1" applyFont="1" applyFill="1" applyBorder="1" applyAlignment="1" applyProtection="1">
      <alignment horizontal="right" vertical="center"/>
      <protection locked="0"/>
    </xf>
    <xf numFmtId="0" fontId="72" fillId="0" borderId="20" xfId="0" applyFont="1" applyFill="1" applyBorder="1" applyAlignment="1">
      <alignment horizontal="left" vertical="center"/>
    </xf>
    <xf numFmtId="184" fontId="72" fillId="0" borderId="20" xfId="0" applyNumberFormat="1" applyFont="1" applyFill="1" applyBorder="1" applyAlignment="1">
      <alignment horizontal="center" vertical="center"/>
    </xf>
    <xf numFmtId="0" fontId="72" fillId="0" borderId="20" xfId="0" applyFont="1" applyFill="1" applyBorder="1" applyAlignment="1">
      <alignment horizontal="right" vertical="center"/>
    </xf>
    <xf numFmtId="4" fontId="73" fillId="0" borderId="20" xfId="0" applyNumberFormat="1" applyFont="1" applyFill="1" applyBorder="1" applyAlignment="1">
      <alignment horizontal="right" vertical="center"/>
    </xf>
    <xf numFmtId="3" fontId="73" fillId="0" borderId="20" xfId="0" applyNumberFormat="1" applyFont="1" applyFill="1" applyBorder="1" applyAlignment="1">
      <alignment horizontal="right" vertical="center"/>
    </xf>
    <xf numFmtId="3" fontId="72" fillId="0" borderId="20" xfId="0" applyNumberFormat="1" applyFont="1" applyFill="1" applyBorder="1" applyAlignment="1">
      <alignment horizontal="right" vertical="center"/>
    </xf>
    <xf numFmtId="2" fontId="72" fillId="0" borderId="20" xfId="0" applyNumberFormat="1" applyFont="1" applyFill="1" applyBorder="1" applyAlignment="1">
      <alignment horizontal="right" vertical="center"/>
    </xf>
    <xf numFmtId="4" fontId="72" fillId="0" borderId="20" xfId="0" applyNumberFormat="1" applyFont="1" applyFill="1" applyBorder="1" applyAlignment="1">
      <alignment horizontal="right" vertical="center"/>
    </xf>
    <xf numFmtId="0" fontId="51" fillId="0" borderId="38" xfId="0" applyFont="1" applyFill="1" applyBorder="1" applyAlignment="1" applyProtection="1">
      <alignment horizontal="right" vertical="center"/>
      <protection locked="0"/>
    </xf>
    <xf numFmtId="0" fontId="51" fillId="0" borderId="38" xfId="0" applyFont="1" applyFill="1" applyBorder="1" applyAlignment="1">
      <alignment horizontal="right" vertical="center"/>
    </xf>
    <xf numFmtId="212" fontId="51" fillId="0" borderId="25" xfId="0" applyNumberFormat="1" applyFont="1" applyFill="1" applyBorder="1" applyAlignment="1">
      <alignment horizontal="left" vertical="center"/>
    </xf>
    <xf numFmtId="184" fontId="51" fillId="0" borderId="21" xfId="0" applyNumberFormat="1" applyFont="1" applyFill="1" applyBorder="1" applyAlignment="1">
      <alignment horizontal="center" vertical="center"/>
    </xf>
    <xf numFmtId="0" fontId="51" fillId="0" borderId="21" xfId="0" applyFont="1" applyFill="1" applyBorder="1" applyAlignment="1">
      <alignment horizontal="left" vertical="center"/>
    </xf>
    <xf numFmtId="0" fontId="51" fillId="0" borderId="21" xfId="0" applyFont="1" applyFill="1" applyBorder="1" applyAlignment="1">
      <alignment horizontal="right" vertical="center"/>
    </xf>
    <xf numFmtId="49" fontId="51" fillId="0" borderId="41" xfId="0" applyNumberFormat="1" applyFont="1" applyFill="1" applyBorder="1" applyAlignment="1" applyProtection="1">
      <alignment horizontal="left" vertical="center"/>
      <protection locked="0"/>
    </xf>
    <xf numFmtId="0" fontId="72" fillId="0" borderId="41" xfId="0" applyFont="1" applyFill="1" applyBorder="1" applyAlignment="1">
      <alignment horizontal="left" vertical="center"/>
    </xf>
    <xf numFmtId="2" fontId="72" fillId="0" borderId="40" xfId="0" applyNumberFormat="1" applyFont="1" applyFill="1" applyBorder="1" applyAlignment="1">
      <alignment horizontal="right" vertical="center"/>
    </xf>
    <xf numFmtId="0" fontId="51" fillId="0" borderId="50" xfId="0" applyFont="1" applyFill="1" applyBorder="1" applyAlignment="1" applyProtection="1">
      <alignment horizontal="left" vertical="center"/>
      <protection locked="0"/>
    </xf>
    <xf numFmtId="184" fontId="51" fillId="0" borderId="51" xfId="0" applyNumberFormat="1" applyFont="1" applyFill="1" applyBorder="1" applyAlignment="1" applyProtection="1">
      <alignment horizontal="center" vertical="center"/>
      <protection locked="0"/>
    </xf>
    <xf numFmtId="0" fontId="51" fillId="0" borderId="51" xfId="0" applyFont="1" applyFill="1" applyBorder="1" applyAlignment="1" applyProtection="1">
      <alignment horizontal="left" vertical="center"/>
      <protection locked="0"/>
    </xf>
    <xf numFmtId="0" fontId="51" fillId="0" borderId="51" xfId="0" applyFont="1" applyFill="1" applyBorder="1" applyAlignment="1" applyProtection="1">
      <alignment horizontal="right" vertical="center"/>
      <protection locked="0"/>
    </xf>
    <xf numFmtId="4" fontId="53" fillId="0" borderId="51" xfId="65" applyNumberFormat="1" applyFont="1" applyFill="1" applyBorder="1" applyAlignment="1" applyProtection="1">
      <alignment horizontal="right" vertical="center"/>
      <protection/>
    </xf>
    <xf numFmtId="3" fontId="53" fillId="0" borderId="51" xfId="65" applyNumberFormat="1" applyFont="1" applyFill="1" applyBorder="1" applyAlignment="1" applyProtection="1">
      <alignment horizontal="right" vertical="center"/>
      <protection/>
    </xf>
    <xf numFmtId="3" fontId="51" fillId="0" borderId="51" xfId="120" applyNumberFormat="1" applyFont="1" applyFill="1" applyBorder="1" applyAlignment="1" applyProtection="1">
      <alignment horizontal="right" vertical="center"/>
      <protection/>
    </xf>
    <xf numFmtId="2" fontId="51" fillId="0" borderId="51" xfId="120" applyNumberFormat="1" applyFont="1" applyFill="1" applyBorder="1" applyAlignment="1" applyProtection="1">
      <alignment horizontal="right" vertical="center"/>
      <protection/>
    </xf>
    <xf numFmtId="4" fontId="51" fillId="0" borderId="51" xfId="65" applyNumberFormat="1" applyFont="1" applyFill="1" applyBorder="1" applyAlignment="1" applyProtection="1">
      <alignment horizontal="right" vertical="center"/>
      <protection/>
    </xf>
    <xf numFmtId="3" fontId="51" fillId="0" borderId="51" xfId="0" applyNumberFormat="1" applyFont="1" applyFill="1" applyBorder="1" applyAlignment="1">
      <alignment horizontal="right" vertical="center"/>
    </xf>
    <xf numFmtId="2" fontId="51" fillId="0" borderId="52" xfId="120" applyNumberFormat="1" applyFont="1" applyFill="1" applyBorder="1" applyAlignment="1" applyProtection="1">
      <alignment horizontal="right" vertical="center"/>
      <protection/>
    </xf>
    <xf numFmtId="0" fontId="51" fillId="0" borderId="20" xfId="0" applyNumberFormat="1" applyFont="1" applyFill="1" applyBorder="1" applyAlignment="1">
      <alignment horizontal="right" vertical="center"/>
    </xf>
    <xf numFmtId="3" fontId="51" fillId="0" borderId="20" xfId="0" applyNumberFormat="1" applyFont="1" applyFill="1" applyBorder="1" applyAlignment="1">
      <alignment horizontal="right"/>
    </xf>
    <xf numFmtId="0" fontId="51" fillId="0" borderId="20" xfId="0" applyFont="1" applyFill="1" applyBorder="1" applyAlignment="1">
      <alignment horizontal="left"/>
    </xf>
    <xf numFmtId="4" fontId="53" fillId="0" borderId="20" xfId="0" applyNumberFormat="1" applyFont="1" applyFill="1" applyBorder="1" applyAlignment="1">
      <alignment horizontal="right" wrapText="1"/>
    </xf>
    <xf numFmtId="2" fontId="51" fillId="0" borderId="20" xfId="0" applyNumberFormat="1" applyFont="1" applyFill="1" applyBorder="1" applyAlignment="1">
      <alignment horizontal="right"/>
    </xf>
    <xf numFmtId="4" fontId="51" fillId="0" borderId="20" xfId="0" applyNumberFormat="1" applyFont="1" applyFill="1" applyBorder="1" applyAlignment="1">
      <alignment horizontal="right" wrapText="1"/>
    </xf>
    <xf numFmtId="2" fontId="51" fillId="0" borderId="40" xfId="0" applyNumberFormat="1" applyFont="1" applyFill="1" applyBorder="1" applyAlignment="1">
      <alignment horizontal="right"/>
    </xf>
    <xf numFmtId="0" fontId="51" fillId="0" borderId="20" xfId="99" applyFont="1" applyFill="1" applyBorder="1" applyAlignment="1">
      <alignment horizontal="right" vertical="center" shrinkToFit="1"/>
      <protection/>
    </xf>
    <xf numFmtId="0" fontId="51" fillId="0" borderId="50" xfId="0" applyFont="1" applyFill="1" applyBorder="1" applyAlignment="1">
      <alignment horizontal="left" vertical="center"/>
    </xf>
    <xf numFmtId="184" fontId="51" fillId="0" borderId="51" xfId="0" applyNumberFormat="1" applyFont="1" applyFill="1" applyBorder="1" applyAlignment="1">
      <alignment horizontal="center" vertical="center"/>
    </xf>
    <xf numFmtId="0" fontId="51" fillId="0" borderId="51" xfId="0" applyFont="1" applyFill="1" applyBorder="1" applyAlignment="1">
      <alignment horizontal="left" vertical="center"/>
    </xf>
    <xf numFmtId="0" fontId="51" fillId="0" borderId="51" xfId="0" applyFont="1" applyFill="1" applyBorder="1" applyAlignment="1">
      <alignment horizontal="right" vertical="center"/>
    </xf>
    <xf numFmtId="4" fontId="53" fillId="0" borderId="51" xfId="0" applyNumberFormat="1" applyFont="1" applyFill="1" applyBorder="1" applyAlignment="1">
      <alignment horizontal="right" vertical="center"/>
    </xf>
    <xf numFmtId="3" fontId="53" fillId="0" borderId="51" xfId="0" applyNumberFormat="1" applyFont="1" applyFill="1" applyBorder="1" applyAlignment="1">
      <alignment horizontal="right" vertical="center"/>
    </xf>
    <xf numFmtId="2" fontId="51" fillId="0" borderId="52" xfId="0" applyNumberFormat="1" applyFont="1" applyFill="1" applyBorder="1" applyAlignment="1">
      <alignment horizontal="right" vertical="center"/>
    </xf>
    <xf numFmtId="0" fontId="51" fillId="0" borderId="25" xfId="0" applyFont="1" applyFill="1" applyBorder="1" applyAlignment="1">
      <alignment horizontal="left" vertical="center"/>
    </xf>
    <xf numFmtId="14" fontId="51" fillId="0" borderId="21" xfId="0" applyNumberFormat="1" applyFont="1" applyFill="1" applyBorder="1" applyAlignment="1">
      <alignment horizontal="left" vertical="center"/>
    </xf>
    <xf numFmtId="4" fontId="53" fillId="0" borderId="21" xfId="0" applyNumberFormat="1" applyFont="1" applyFill="1" applyBorder="1" applyAlignment="1">
      <alignment horizontal="right" vertical="center"/>
    </xf>
    <xf numFmtId="3" fontId="53" fillId="0" borderId="21" xfId="0" applyNumberFormat="1" applyFont="1" applyFill="1" applyBorder="1" applyAlignment="1">
      <alignment horizontal="right" vertical="center"/>
    </xf>
    <xf numFmtId="2" fontId="51" fillId="0" borderId="47" xfId="0" applyNumberFormat="1" applyFont="1" applyFill="1" applyBorder="1" applyAlignment="1">
      <alignment horizontal="right" vertical="center"/>
    </xf>
    <xf numFmtId="0" fontId="51" fillId="0" borderId="41" xfId="99" applyFont="1" applyFill="1" applyBorder="1" applyAlignment="1">
      <alignment horizontal="left" vertical="center" shrinkToFit="1"/>
      <protection/>
    </xf>
    <xf numFmtId="0" fontId="51" fillId="0" borderId="53" xfId="0" applyFont="1" applyFill="1" applyBorder="1" applyAlignment="1" applyProtection="1">
      <alignment horizontal="left" vertical="center"/>
      <protection locked="0"/>
    </xf>
    <xf numFmtId="184" fontId="51" fillId="0" borderId="19" xfId="0" applyNumberFormat="1" applyFont="1" applyFill="1" applyBorder="1" applyAlignment="1" applyProtection="1">
      <alignment horizontal="center" vertical="center"/>
      <protection locked="0"/>
    </xf>
    <xf numFmtId="0" fontId="51" fillId="0" borderId="19" xfId="0" applyFont="1" applyFill="1" applyBorder="1" applyAlignment="1" applyProtection="1">
      <alignment horizontal="left" vertical="center"/>
      <protection locked="0"/>
    </xf>
    <xf numFmtId="0" fontId="51" fillId="0" borderId="19" xfId="0" applyFont="1" applyFill="1" applyBorder="1" applyAlignment="1" applyProtection="1">
      <alignment horizontal="right" vertical="center"/>
      <protection locked="0"/>
    </xf>
    <xf numFmtId="0" fontId="51" fillId="0" borderId="54" xfId="0" applyFont="1" applyFill="1" applyBorder="1" applyAlignment="1">
      <alignment horizontal="left" vertical="center"/>
    </xf>
    <xf numFmtId="184" fontId="51" fillId="0" borderId="55" xfId="0" applyNumberFormat="1" applyFont="1" applyFill="1" applyBorder="1" applyAlignment="1">
      <alignment horizontal="center" vertical="center"/>
    </xf>
    <xf numFmtId="0" fontId="51" fillId="0" borderId="55" xfId="0" applyFont="1" applyFill="1" applyBorder="1" applyAlignment="1">
      <alignment horizontal="left" vertical="center"/>
    </xf>
    <xf numFmtId="0" fontId="51" fillId="0" borderId="55" xfId="0" applyFont="1" applyFill="1" applyBorder="1" applyAlignment="1">
      <alignment horizontal="right" vertical="center"/>
    </xf>
    <xf numFmtId="4" fontId="53" fillId="0" borderId="55" xfId="0" applyNumberFormat="1" applyFont="1" applyFill="1" applyBorder="1" applyAlignment="1">
      <alignment horizontal="right" vertical="center"/>
    </xf>
    <xf numFmtId="3" fontId="53" fillId="0" borderId="55" xfId="0" applyNumberFormat="1" applyFont="1" applyFill="1" applyBorder="1" applyAlignment="1">
      <alignment horizontal="right" vertical="center"/>
    </xf>
    <xf numFmtId="2" fontId="51" fillId="0" borderId="56" xfId="0" applyNumberFormat="1" applyFont="1" applyFill="1" applyBorder="1" applyAlignment="1">
      <alignment horizontal="right" vertical="center"/>
    </xf>
    <xf numFmtId="0" fontId="50" fillId="55" borderId="57" xfId="0" applyFont="1" applyFill="1" applyBorder="1" applyAlignment="1" applyProtection="1">
      <alignment horizontal="center" vertical="center"/>
      <protection/>
    </xf>
    <xf numFmtId="0" fontId="37" fillId="0" borderId="58" xfId="0" applyFont="1" applyBorder="1" applyAlignment="1">
      <alignment horizontal="center"/>
    </xf>
    <xf numFmtId="0" fontId="37" fillId="0" borderId="59" xfId="0" applyFont="1" applyBorder="1" applyAlignment="1">
      <alignment horizontal="center"/>
    </xf>
    <xf numFmtId="181" fontId="39" fillId="0" borderId="60" xfId="0" applyNumberFormat="1" applyFont="1" applyFill="1" applyBorder="1" applyAlignment="1" applyProtection="1">
      <alignment horizontal="center" wrapText="1"/>
      <protection/>
    </xf>
    <xf numFmtId="0" fontId="39" fillId="0" borderId="60" xfId="0" applyFont="1" applyBorder="1" applyAlignment="1">
      <alignment horizontal="center"/>
    </xf>
    <xf numFmtId="0" fontId="39" fillId="0" borderId="61" xfId="0" applyFont="1" applyBorder="1" applyAlignment="1">
      <alignment horizontal="center"/>
    </xf>
    <xf numFmtId="0" fontId="39" fillId="0" borderId="60" xfId="0" applyNumberFormat="1" applyFont="1" applyFill="1" applyBorder="1" applyAlignment="1" applyProtection="1">
      <alignment horizontal="center" wrapText="1"/>
      <protection/>
    </xf>
    <xf numFmtId="0" fontId="39" fillId="0" borderId="28" xfId="0" applyFont="1" applyBorder="1" applyAlignment="1">
      <alignment horizontal="center"/>
    </xf>
    <xf numFmtId="43" fontId="39" fillId="0" borderId="62" xfId="65" applyFont="1" applyFill="1" applyBorder="1" applyAlignment="1" applyProtection="1">
      <alignment horizontal="center" wrapText="1"/>
      <protection/>
    </xf>
    <xf numFmtId="0" fontId="39" fillId="0" borderId="63" xfId="0" applyFont="1" applyBorder="1" applyAlignment="1">
      <alignment horizontal="center"/>
    </xf>
    <xf numFmtId="0" fontId="39" fillId="0" borderId="60" xfId="0" applyFont="1" applyFill="1" applyBorder="1" applyAlignment="1" applyProtection="1">
      <alignment horizontal="center" wrapText="1"/>
      <protection/>
    </xf>
    <xf numFmtId="4" fontId="39" fillId="0" borderId="60" xfId="0" applyNumberFormat="1" applyFont="1" applyFill="1" applyBorder="1" applyAlignment="1" applyProtection="1">
      <alignment horizontal="center" wrapText="1"/>
      <protection/>
    </xf>
    <xf numFmtId="184" fontId="39" fillId="0" borderId="60" xfId="0" applyNumberFormat="1" applyFont="1" applyFill="1" applyBorder="1" applyAlignment="1" applyProtection="1">
      <alignment horizontal="center" wrapText="1"/>
      <protection/>
    </xf>
    <xf numFmtId="0" fontId="41" fillId="0" borderId="20" xfId="0"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0" fillId="0" borderId="20" xfId="0" applyBorder="1" applyAlignment="1">
      <alignment vertical="center" wrapText="1"/>
    </xf>
    <xf numFmtId="0" fontId="20" fillId="55" borderId="19" xfId="0" applyFont="1" applyFill="1" applyBorder="1" applyAlignment="1">
      <alignment horizontal="center" vertical="center"/>
    </xf>
    <xf numFmtId="0" fontId="11" fillId="0" borderId="19" xfId="0" applyFont="1" applyBorder="1" applyAlignment="1">
      <alignment horizontal="center"/>
    </xf>
    <xf numFmtId="0" fontId="39" fillId="0" borderId="36" xfId="0" applyNumberFormat="1" applyFont="1" applyFill="1" applyBorder="1" applyAlignment="1">
      <alignment horizontal="center" wrapText="1"/>
    </xf>
    <xf numFmtId="184" fontId="39" fillId="0" borderId="0" xfId="0" applyNumberFormat="1" applyFont="1" applyFill="1" applyBorder="1" applyAlignment="1">
      <alignment horizontal="center" wrapText="1"/>
    </xf>
    <xf numFmtId="0" fontId="39" fillId="0" borderId="0" xfId="0" applyNumberFormat="1" applyFont="1" applyFill="1" applyBorder="1" applyAlignment="1">
      <alignment horizontal="center" wrapText="1"/>
    </xf>
    <xf numFmtId="0" fontId="39" fillId="0" borderId="0" xfId="0" applyNumberFormat="1" applyFont="1" applyFill="1" applyBorder="1" applyAlignment="1" applyProtection="1">
      <alignment horizontal="center" wrapText="1"/>
      <protection/>
    </xf>
    <xf numFmtId="192" fontId="39" fillId="0" borderId="64" xfId="0" applyNumberFormat="1" applyFont="1" applyFill="1" applyBorder="1" applyAlignment="1" applyProtection="1">
      <alignment horizontal="right" wrapText="1"/>
      <protection/>
    </xf>
    <xf numFmtId="0" fontId="50" fillId="55" borderId="0" xfId="0" applyFont="1" applyFill="1" applyBorder="1" applyAlignment="1" applyProtection="1">
      <alignment horizontal="center" vertical="center" wrapText="1"/>
      <protection/>
    </xf>
    <xf numFmtId="0" fontId="0" fillId="0" borderId="0" xfId="0" applyAlignment="1">
      <alignment horizontal="center" wrapText="1"/>
    </xf>
    <xf numFmtId="2" fontId="39" fillId="0" borderId="60" xfId="0" applyNumberFormat="1" applyFont="1" applyFill="1" applyBorder="1" applyAlignment="1" applyProtection="1">
      <alignment horizontal="center" wrapText="1"/>
      <protection/>
    </xf>
    <xf numFmtId="2" fontId="39" fillId="0" borderId="61" xfId="0" applyNumberFormat="1" applyFont="1" applyFill="1" applyBorder="1" applyAlignment="1" applyProtection="1">
      <alignment horizontal="center" wrapText="1"/>
      <protection/>
    </xf>
    <xf numFmtId="0" fontId="50" fillId="55" borderId="65" xfId="0" applyFont="1" applyFill="1" applyBorder="1" applyAlignment="1" applyProtection="1">
      <alignment horizontal="center" vertical="center" wrapText="1"/>
      <protection/>
    </xf>
    <xf numFmtId="0" fontId="0" fillId="0" borderId="65" xfId="0" applyBorder="1" applyAlignment="1">
      <alignment horizontal="center" wrapText="1"/>
    </xf>
    <xf numFmtId="0" fontId="39" fillId="0" borderId="42" xfId="0" applyFont="1" applyBorder="1" applyAlignment="1">
      <alignment horizontal="center"/>
    </xf>
    <xf numFmtId="0" fontId="39" fillId="0" borderId="66" xfId="0" applyFont="1" applyBorder="1" applyAlignment="1">
      <alignment horizontal="center"/>
    </xf>
    <xf numFmtId="184" fontId="39" fillId="0" borderId="42" xfId="0" applyNumberFormat="1" applyFont="1" applyBorder="1" applyAlignment="1">
      <alignment horizontal="center"/>
    </xf>
    <xf numFmtId="0" fontId="39" fillId="0" borderId="42" xfId="0" applyFont="1" applyBorder="1" applyAlignment="1">
      <alignment horizontal="center" wrapText="1"/>
    </xf>
  </cellXfs>
  <cellStyles count="108">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Binlik Ayracı 2" xfId="67"/>
    <cellStyle name="Binlik Ayracı 2 2" xfId="68"/>
    <cellStyle name="Binlik Ayracı 2 3" xfId="69"/>
    <cellStyle name="Binlik Ayracı 3" xfId="70"/>
    <cellStyle name="Binlik Ayracı 4" xfId="71"/>
    <cellStyle name="Calculation" xfId="72"/>
    <cellStyle name="Check Cell" xfId="73"/>
    <cellStyle name="Comma 2" xfId="74"/>
    <cellStyle name="Çıkış" xfId="75"/>
    <cellStyle name="Explanatory Text" xfId="76"/>
    <cellStyle name="Giriş" xfId="77"/>
    <cellStyle name="Good" xfId="78"/>
    <cellStyle name="Heading 1" xfId="79"/>
    <cellStyle name="Heading 2" xfId="80"/>
    <cellStyle name="Heading 3" xfId="81"/>
    <cellStyle name="Heading 4" xfId="82"/>
    <cellStyle name="Hesaplama" xfId="83"/>
    <cellStyle name="Input" xfId="84"/>
    <cellStyle name="İşaretli Hücre" xfId="85"/>
    <cellStyle name="İyi" xfId="86"/>
    <cellStyle name="Followed Hyperlink" xfId="87"/>
    <cellStyle name="Hyperlink" xfId="88"/>
    <cellStyle name="Kötü" xfId="89"/>
    <cellStyle name="Linked Cell" xfId="90"/>
    <cellStyle name="Neutral" xfId="91"/>
    <cellStyle name="Normal 2" xfId="92"/>
    <cellStyle name="Normal 2 10 10" xfId="93"/>
    <cellStyle name="Normal 2 2" xfId="94"/>
    <cellStyle name="Normal 2 2 2" xfId="95"/>
    <cellStyle name="Normal 2_Sayfa1" xfId="96"/>
    <cellStyle name="Normal_31 Dec 10'-14 Apr' 11 (Annual)" xfId="97"/>
    <cellStyle name="Normal_Ex years releases (Annual)" xfId="98"/>
    <cellStyle name="Normal_Sayfa1" xfId="99"/>
    <cellStyle name="Normal_Sayfa1_1" xfId="100"/>
    <cellStyle name="Normal_Sayfa1_2" xfId="101"/>
    <cellStyle name="Not" xfId="102"/>
    <cellStyle name="Note" xfId="103"/>
    <cellStyle name="Nötr" xfId="104"/>
    <cellStyle name="Output" xfId="105"/>
    <cellStyle name="Currency" xfId="106"/>
    <cellStyle name="Currency [0]" xfId="107"/>
    <cellStyle name="Percent 2" xfId="108"/>
    <cellStyle name="Title" xfId="109"/>
    <cellStyle name="Toplam" xfId="110"/>
    <cellStyle name="Total" xfId="111"/>
    <cellStyle name="Uyarı Metni" xfId="112"/>
    <cellStyle name="Vurgu1" xfId="113"/>
    <cellStyle name="Vurgu2" xfId="114"/>
    <cellStyle name="Vurgu3" xfId="115"/>
    <cellStyle name="Vurgu4" xfId="116"/>
    <cellStyle name="Vurgu5" xfId="117"/>
    <cellStyle name="Vurgu6" xfId="118"/>
    <cellStyle name="Warning Text" xfId="119"/>
    <cellStyle name="Percen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753975"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239125"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16</a:t>
          </a:r>
          <a:r>
            <a:rPr lang="en-US" cap="none" sz="2000" b="0" i="0" u="none" baseline="0">
              <a:solidFill>
                <a:srgbClr val="000000"/>
              </a:solidFill>
              <a:latin typeface="Administer"/>
              <a:ea typeface="Administer"/>
              <a:cs typeface="Administer"/>
            </a:rPr>
            <a:t> 15 - 21 April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7732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961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- 21 April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- 21 April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102"/>
  <sheetViews>
    <sheetView showGridLines="0" tabSelected="1" zoomScale="94" zoomScaleNormal="94" zoomScalePageLayoutView="0" workbookViewId="0" topLeftCell="A1">
      <selection activeCell="B3" sqref="B3:B4"/>
    </sheetView>
  </sheetViews>
  <sheetFormatPr defaultColWidth="9.140625" defaultRowHeight="12.75"/>
  <cols>
    <col min="1" max="1" width="3.421875" style="74" bestFit="1" customWidth="1"/>
    <col min="2" max="2" width="62.00390625" style="45" bestFit="1" customWidth="1"/>
    <col min="3" max="3" width="9.140625" style="46" bestFit="1" customWidth="1"/>
    <col min="4" max="4" width="22.7109375" style="47" bestFit="1" customWidth="1"/>
    <col min="5" max="5" width="7.140625" style="26" bestFit="1" customWidth="1"/>
    <col min="6" max="6" width="8.140625" style="26" customWidth="1"/>
    <col min="7" max="7" width="9.421875" style="26" customWidth="1"/>
    <col min="8" max="8" width="13.57421875" style="42" bestFit="1" customWidth="1"/>
    <col min="9" max="9" width="8.57421875" style="43" bestFit="1" customWidth="1"/>
    <col min="10" max="10" width="8.140625" style="29" customWidth="1"/>
    <col min="11" max="11" width="7.28125" style="30" bestFit="1" customWidth="1"/>
    <col min="12" max="12" width="14.28125" style="44" bestFit="1" customWidth="1"/>
    <col min="13" max="13" width="10.140625" style="32" bestFit="1" customWidth="1"/>
    <col min="14" max="14" width="7.7109375" style="60" customWidth="1"/>
    <col min="15" max="16" width="2.28125" style="65" bestFit="1" customWidth="1"/>
    <col min="17" max="16384" width="9.140625" style="3" customWidth="1"/>
  </cols>
  <sheetData>
    <row r="1" spans="1:16" s="1" customFormat="1" ht="72" customHeight="1">
      <c r="A1" s="73"/>
      <c r="B1" s="48"/>
      <c r="C1" s="49"/>
      <c r="D1" s="50"/>
      <c r="E1" s="51"/>
      <c r="F1" s="51"/>
      <c r="G1" s="51"/>
      <c r="H1" s="52"/>
      <c r="I1" s="53"/>
      <c r="J1" s="54"/>
      <c r="K1" s="55"/>
      <c r="L1" s="56"/>
      <c r="M1" s="57"/>
      <c r="N1" s="58"/>
      <c r="O1" s="62"/>
      <c r="P1" s="62"/>
    </row>
    <row r="2" spans="1:16" s="5" customFormat="1" ht="22.5" customHeight="1" thickBot="1">
      <c r="A2" s="593" t="s">
        <v>69</v>
      </c>
      <c r="B2" s="594"/>
      <c r="C2" s="594"/>
      <c r="D2" s="594"/>
      <c r="E2" s="594"/>
      <c r="F2" s="594"/>
      <c r="G2" s="594"/>
      <c r="H2" s="594"/>
      <c r="I2" s="594"/>
      <c r="J2" s="594"/>
      <c r="K2" s="594"/>
      <c r="L2" s="594"/>
      <c r="M2" s="594"/>
      <c r="N2" s="595"/>
      <c r="O2" s="63"/>
      <c r="P2" s="63"/>
    </row>
    <row r="3" spans="1:16" s="84" customFormat="1" ht="12.75">
      <c r="A3" s="82"/>
      <c r="B3" s="601" t="s">
        <v>6</v>
      </c>
      <c r="C3" s="605" t="s">
        <v>43</v>
      </c>
      <c r="D3" s="603" t="s">
        <v>33</v>
      </c>
      <c r="E3" s="599" t="s">
        <v>44</v>
      </c>
      <c r="F3" s="599" t="s">
        <v>51</v>
      </c>
      <c r="G3" s="599" t="s">
        <v>32</v>
      </c>
      <c r="H3" s="604" t="s">
        <v>45</v>
      </c>
      <c r="I3" s="604"/>
      <c r="J3" s="604"/>
      <c r="K3" s="604"/>
      <c r="L3" s="596" t="s">
        <v>46</v>
      </c>
      <c r="M3" s="597"/>
      <c r="N3" s="598"/>
      <c r="O3" s="83"/>
      <c r="P3" s="83"/>
    </row>
    <row r="4" spans="1:16" s="84" customFormat="1" ht="39" thickBot="1">
      <c r="A4" s="85"/>
      <c r="B4" s="602"/>
      <c r="C4" s="600"/>
      <c r="D4" s="600"/>
      <c r="E4" s="600"/>
      <c r="F4" s="600"/>
      <c r="G4" s="600"/>
      <c r="H4" s="86" t="s">
        <v>47</v>
      </c>
      <c r="I4" s="87" t="s">
        <v>48</v>
      </c>
      <c r="J4" s="87" t="s">
        <v>38</v>
      </c>
      <c r="K4" s="88" t="s">
        <v>49</v>
      </c>
      <c r="L4" s="86" t="s">
        <v>47</v>
      </c>
      <c r="M4" s="87" t="s">
        <v>48</v>
      </c>
      <c r="N4" s="89" t="s">
        <v>50</v>
      </c>
      <c r="O4" s="83"/>
      <c r="P4" s="83"/>
    </row>
    <row r="5" spans="1:16" s="2" customFormat="1" ht="14.25" customHeight="1">
      <c r="A5" s="90">
        <v>1</v>
      </c>
      <c r="B5" s="543" t="s">
        <v>247</v>
      </c>
      <c r="C5" s="544">
        <v>40641</v>
      </c>
      <c r="D5" s="545" t="s">
        <v>118</v>
      </c>
      <c r="E5" s="546">
        <v>137</v>
      </c>
      <c r="F5" s="546">
        <v>205</v>
      </c>
      <c r="G5" s="546">
        <v>2</v>
      </c>
      <c r="H5" s="364">
        <v>883755.25</v>
      </c>
      <c r="I5" s="365">
        <v>88345</v>
      </c>
      <c r="J5" s="366">
        <f>(I5/F5)</f>
        <v>430.9512195121951</v>
      </c>
      <c r="K5" s="367">
        <f>H5/I5</f>
        <v>10.003455204029656</v>
      </c>
      <c r="L5" s="368">
        <f>1094534.25+883755.25</f>
        <v>1978289.5</v>
      </c>
      <c r="M5" s="369">
        <f>103644+88345</f>
        <v>191989</v>
      </c>
      <c r="N5" s="370">
        <f>L5/M5</f>
        <v>10.304181489564506</v>
      </c>
      <c r="O5" s="268"/>
      <c r="P5" s="218"/>
    </row>
    <row r="6" spans="1:16" s="2" customFormat="1" ht="14.25" customHeight="1">
      <c r="A6" s="90">
        <v>2</v>
      </c>
      <c r="B6" s="209" t="s">
        <v>250</v>
      </c>
      <c r="C6" s="173">
        <v>40648</v>
      </c>
      <c r="D6" s="290" t="s">
        <v>23</v>
      </c>
      <c r="E6" s="241">
        <v>65</v>
      </c>
      <c r="F6" s="241">
        <v>66</v>
      </c>
      <c r="G6" s="241">
        <v>1</v>
      </c>
      <c r="H6" s="199">
        <v>618943</v>
      </c>
      <c r="I6" s="178">
        <v>59468</v>
      </c>
      <c r="J6" s="174">
        <f>I6/F6</f>
        <v>901.030303030303</v>
      </c>
      <c r="K6" s="294">
        <f>+H6/I6</f>
        <v>10.408000941682921</v>
      </c>
      <c r="L6" s="201">
        <v>618943</v>
      </c>
      <c r="M6" s="174">
        <v>59468</v>
      </c>
      <c r="N6" s="214">
        <f>+L6/M6</f>
        <v>10.408000941682921</v>
      </c>
      <c r="O6" s="296"/>
      <c r="P6" s="218"/>
    </row>
    <row r="7" spans="1:16" s="2" customFormat="1" ht="14.25" customHeight="1">
      <c r="A7" s="286">
        <v>3</v>
      </c>
      <c r="B7" s="213" t="s">
        <v>251</v>
      </c>
      <c r="C7" s="173">
        <v>40627</v>
      </c>
      <c r="D7" s="246" t="s">
        <v>118</v>
      </c>
      <c r="E7" s="241">
        <v>137</v>
      </c>
      <c r="F7" s="241">
        <v>142</v>
      </c>
      <c r="G7" s="241">
        <v>4</v>
      </c>
      <c r="H7" s="191">
        <v>606216</v>
      </c>
      <c r="I7" s="177">
        <v>62672</v>
      </c>
      <c r="J7" s="170">
        <f>(I7/F7)</f>
        <v>441.3521126760563</v>
      </c>
      <c r="K7" s="192">
        <f>H7/I7</f>
        <v>9.672836354352821</v>
      </c>
      <c r="L7" s="193">
        <f>1066061.5+1061275+813811.75+606216</f>
        <v>3547364.25</v>
      </c>
      <c r="M7" s="169">
        <f>110278+106719+82932+62672</f>
        <v>362601</v>
      </c>
      <c r="N7" s="210">
        <f>L7/M7</f>
        <v>9.783106637874688</v>
      </c>
      <c r="O7" s="268">
        <v>1</v>
      </c>
      <c r="P7" s="218"/>
    </row>
    <row r="8" spans="1:16" s="2" customFormat="1" ht="14.25" customHeight="1">
      <c r="A8" s="91">
        <v>4</v>
      </c>
      <c r="B8" s="213" t="s">
        <v>249</v>
      </c>
      <c r="C8" s="173">
        <v>40641</v>
      </c>
      <c r="D8" s="246" t="s">
        <v>118</v>
      </c>
      <c r="E8" s="241">
        <v>128</v>
      </c>
      <c r="F8" s="241">
        <v>119</v>
      </c>
      <c r="G8" s="241">
        <v>2</v>
      </c>
      <c r="H8" s="191">
        <v>546709.5</v>
      </c>
      <c r="I8" s="177">
        <v>52953</v>
      </c>
      <c r="J8" s="170">
        <f>(I8/F8)</f>
        <v>444.98319327731093</v>
      </c>
      <c r="K8" s="192">
        <f>H8/I8</f>
        <v>10.324429210809585</v>
      </c>
      <c r="L8" s="193">
        <f>740297.75+546709.5</f>
        <v>1287007.25</v>
      </c>
      <c r="M8" s="169">
        <f>69545+52953</f>
        <v>122498</v>
      </c>
      <c r="N8" s="210">
        <f>L8/M8</f>
        <v>10.506353164949632</v>
      </c>
      <c r="O8" s="268"/>
      <c r="P8" s="218"/>
    </row>
    <row r="9" spans="1:16" s="4" customFormat="1" ht="14.25" customHeight="1">
      <c r="A9" s="90">
        <v>5</v>
      </c>
      <c r="B9" s="207" t="s">
        <v>252</v>
      </c>
      <c r="C9" s="161">
        <v>40613</v>
      </c>
      <c r="D9" s="244" t="s">
        <v>24</v>
      </c>
      <c r="E9" s="243">
        <v>280</v>
      </c>
      <c r="F9" s="243">
        <v>210</v>
      </c>
      <c r="G9" s="243">
        <v>6</v>
      </c>
      <c r="H9" s="188">
        <v>318974</v>
      </c>
      <c r="I9" s="176">
        <v>38754</v>
      </c>
      <c r="J9" s="163">
        <f>I9/F9</f>
        <v>184.54285714285714</v>
      </c>
      <c r="K9" s="189">
        <f>H9/I9</f>
        <v>8.230737472260929</v>
      </c>
      <c r="L9" s="190">
        <v>6314216</v>
      </c>
      <c r="M9" s="162">
        <v>703105</v>
      </c>
      <c r="N9" s="208">
        <f>+L9/M9</f>
        <v>8.98047375569794</v>
      </c>
      <c r="O9" s="268">
        <v>1</v>
      </c>
      <c r="P9" s="218"/>
    </row>
    <row r="10" spans="1:16" s="4" customFormat="1" ht="14.25" customHeight="1">
      <c r="A10" s="90">
        <v>6</v>
      </c>
      <c r="B10" s="213" t="s">
        <v>253</v>
      </c>
      <c r="C10" s="173">
        <v>40648</v>
      </c>
      <c r="D10" s="246" t="s">
        <v>118</v>
      </c>
      <c r="E10" s="241">
        <v>72</v>
      </c>
      <c r="F10" s="241">
        <v>80</v>
      </c>
      <c r="G10" s="241">
        <v>1</v>
      </c>
      <c r="H10" s="191">
        <v>313705</v>
      </c>
      <c r="I10" s="177">
        <v>29673</v>
      </c>
      <c r="J10" s="170">
        <f>(I10/F10)</f>
        <v>370.9125</v>
      </c>
      <c r="K10" s="192">
        <f>H10/I10</f>
        <v>10.572068884170795</v>
      </c>
      <c r="L10" s="193">
        <f>313705</f>
        <v>313705</v>
      </c>
      <c r="M10" s="169">
        <f>29673</f>
        <v>29673</v>
      </c>
      <c r="N10" s="210">
        <f>L10/M10</f>
        <v>10.572068884170795</v>
      </c>
      <c r="O10" s="268"/>
      <c r="P10" s="218"/>
    </row>
    <row r="11" spans="1:16" s="4" customFormat="1" ht="14.25" customHeight="1">
      <c r="A11" s="90">
        <v>7</v>
      </c>
      <c r="B11" s="207" t="s">
        <v>254</v>
      </c>
      <c r="C11" s="161">
        <v>40648</v>
      </c>
      <c r="D11" s="244" t="s">
        <v>24</v>
      </c>
      <c r="E11" s="243">
        <v>76</v>
      </c>
      <c r="F11" s="243">
        <v>76</v>
      </c>
      <c r="G11" s="243">
        <v>1</v>
      </c>
      <c r="H11" s="188">
        <v>282179</v>
      </c>
      <c r="I11" s="176">
        <v>27810</v>
      </c>
      <c r="J11" s="163">
        <f>I11/F11</f>
        <v>365.92105263157896</v>
      </c>
      <c r="K11" s="189">
        <f>H11/I11</f>
        <v>10.146673858324343</v>
      </c>
      <c r="L11" s="190">
        <v>282179</v>
      </c>
      <c r="M11" s="162">
        <v>27810</v>
      </c>
      <c r="N11" s="208">
        <f>+L11/M11</f>
        <v>10.146673858324343</v>
      </c>
      <c r="O11" s="268"/>
      <c r="P11" s="218"/>
    </row>
    <row r="12" spans="1:16" s="4" customFormat="1" ht="14.25" customHeight="1">
      <c r="A12" s="91">
        <v>8</v>
      </c>
      <c r="B12" s="209" t="s">
        <v>255</v>
      </c>
      <c r="C12" s="173">
        <v>40648</v>
      </c>
      <c r="D12" s="290" t="s">
        <v>23</v>
      </c>
      <c r="E12" s="241">
        <v>75</v>
      </c>
      <c r="F12" s="241">
        <v>76</v>
      </c>
      <c r="G12" s="241">
        <v>1</v>
      </c>
      <c r="H12" s="199">
        <v>238635</v>
      </c>
      <c r="I12" s="178">
        <v>22958</v>
      </c>
      <c r="J12" s="174">
        <f>I12/F12</f>
        <v>302.07894736842104</v>
      </c>
      <c r="K12" s="294">
        <f>+H12/I12</f>
        <v>10.39441588988588</v>
      </c>
      <c r="L12" s="201">
        <v>238635</v>
      </c>
      <c r="M12" s="174">
        <v>22958</v>
      </c>
      <c r="N12" s="214">
        <f>+L12/M12</f>
        <v>10.39441588988588</v>
      </c>
      <c r="O12" s="296"/>
      <c r="P12" s="218"/>
    </row>
    <row r="13" spans="1:16" s="4" customFormat="1" ht="14.25" customHeight="1">
      <c r="A13" s="90">
        <v>9</v>
      </c>
      <c r="B13" s="207" t="s">
        <v>221</v>
      </c>
      <c r="C13" s="161">
        <v>40627</v>
      </c>
      <c r="D13" s="244" t="s">
        <v>24</v>
      </c>
      <c r="E13" s="243">
        <v>73</v>
      </c>
      <c r="F13" s="243">
        <v>72</v>
      </c>
      <c r="G13" s="243">
        <v>4</v>
      </c>
      <c r="H13" s="188">
        <v>184383</v>
      </c>
      <c r="I13" s="176">
        <v>17066</v>
      </c>
      <c r="J13" s="163">
        <f>I13/F13</f>
        <v>237.02777777777777</v>
      </c>
      <c r="K13" s="189">
        <f>H13/I13</f>
        <v>10.804113441931326</v>
      </c>
      <c r="L13" s="190">
        <v>1475623</v>
      </c>
      <c r="M13" s="162">
        <v>128666</v>
      </c>
      <c r="N13" s="208">
        <f>+L13/M13</f>
        <v>11.468631961823636</v>
      </c>
      <c r="O13" s="268"/>
      <c r="P13" s="218"/>
    </row>
    <row r="14" spans="1:16" s="4" customFormat="1" ht="14.25" customHeight="1">
      <c r="A14" s="90">
        <v>10</v>
      </c>
      <c r="B14" s="207" t="s">
        <v>240</v>
      </c>
      <c r="C14" s="161">
        <v>40620</v>
      </c>
      <c r="D14" s="244" t="s">
        <v>17</v>
      </c>
      <c r="E14" s="243">
        <v>218</v>
      </c>
      <c r="F14" s="243">
        <v>168</v>
      </c>
      <c r="G14" s="243">
        <v>5</v>
      </c>
      <c r="H14" s="197">
        <v>164061</v>
      </c>
      <c r="I14" s="181">
        <v>22657</v>
      </c>
      <c r="J14" s="168">
        <f>IF(H14&lt;&gt;0,I14/F14,"")</f>
        <v>134.86309523809524</v>
      </c>
      <c r="K14" s="195">
        <f>IF(H14&lt;&gt;0,H14/I14,"")</f>
        <v>7.241073398949552</v>
      </c>
      <c r="L14" s="198">
        <f>868723.5+629960.75+471670+272432+H14</f>
        <v>2406847.25</v>
      </c>
      <c r="M14" s="174">
        <f>93361+70981+54177+33865+I14</f>
        <v>275041</v>
      </c>
      <c r="N14" s="212">
        <f>IF(L14&lt;&gt;0,L14/M14,"")</f>
        <v>8.750867143444069</v>
      </c>
      <c r="O14" s="268">
        <v>1</v>
      </c>
      <c r="P14" s="218"/>
    </row>
    <row r="15" spans="1:16" s="4" customFormat="1" ht="14.25" customHeight="1">
      <c r="A15" s="90">
        <v>11</v>
      </c>
      <c r="B15" s="209" t="s">
        <v>256</v>
      </c>
      <c r="C15" s="173">
        <v>40634</v>
      </c>
      <c r="D15" s="246" t="s">
        <v>31</v>
      </c>
      <c r="E15" s="241">
        <v>149</v>
      </c>
      <c r="F15" s="241">
        <v>112</v>
      </c>
      <c r="G15" s="241">
        <v>3</v>
      </c>
      <c r="H15" s="199">
        <v>97897.5</v>
      </c>
      <c r="I15" s="178">
        <v>13736</v>
      </c>
      <c r="J15" s="174">
        <f>I15/F15</f>
        <v>122.64285714285714</v>
      </c>
      <c r="K15" s="294">
        <f>H15/I15</f>
        <v>7.127074839836925</v>
      </c>
      <c r="L15" s="201">
        <v>592829.5</v>
      </c>
      <c r="M15" s="174">
        <v>81625</v>
      </c>
      <c r="N15" s="214">
        <f>L15/M15</f>
        <v>7.2628422664624805</v>
      </c>
      <c r="O15" s="268">
        <v>1</v>
      </c>
      <c r="P15" s="218"/>
    </row>
    <row r="16" spans="1:16" s="4" customFormat="1" ht="14.25" customHeight="1">
      <c r="A16" s="91">
        <v>12</v>
      </c>
      <c r="B16" s="209" t="s">
        <v>194</v>
      </c>
      <c r="C16" s="173">
        <v>40578</v>
      </c>
      <c r="D16" s="290" t="s">
        <v>23</v>
      </c>
      <c r="E16" s="241">
        <v>224</v>
      </c>
      <c r="F16" s="241">
        <v>56</v>
      </c>
      <c r="G16" s="241">
        <v>11</v>
      </c>
      <c r="H16" s="199">
        <v>70676</v>
      </c>
      <c r="I16" s="178">
        <v>9353</v>
      </c>
      <c r="J16" s="174">
        <f>I16/F16</f>
        <v>167.01785714285714</v>
      </c>
      <c r="K16" s="294">
        <f>+H16/I16</f>
        <v>7.556505933924944</v>
      </c>
      <c r="L16" s="201">
        <v>21723436</v>
      </c>
      <c r="M16" s="174">
        <v>2377782</v>
      </c>
      <c r="N16" s="214">
        <f>+L16/M16</f>
        <v>9.136008263162898</v>
      </c>
      <c r="O16" s="296">
        <v>1</v>
      </c>
      <c r="P16" s="218"/>
    </row>
    <row r="17" spans="1:16" s="4" customFormat="1" ht="14.25" customHeight="1">
      <c r="A17" s="90">
        <v>13</v>
      </c>
      <c r="B17" s="207" t="s">
        <v>231</v>
      </c>
      <c r="C17" s="161">
        <v>40634</v>
      </c>
      <c r="D17" s="244" t="s">
        <v>24</v>
      </c>
      <c r="E17" s="243">
        <v>76</v>
      </c>
      <c r="F17" s="243">
        <v>75</v>
      </c>
      <c r="G17" s="243">
        <v>3</v>
      </c>
      <c r="H17" s="188">
        <v>70206</v>
      </c>
      <c r="I17" s="176">
        <v>7817</v>
      </c>
      <c r="J17" s="163">
        <f>I17/F17</f>
        <v>104.22666666666667</v>
      </c>
      <c r="K17" s="189">
        <f>H17/I17</f>
        <v>8.981194831776897</v>
      </c>
      <c r="L17" s="190">
        <v>590553</v>
      </c>
      <c r="M17" s="162">
        <v>56832</v>
      </c>
      <c r="N17" s="208">
        <f>+L17/M17</f>
        <v>10.391205658783784</v>
      </c>
      <c r="O17" s="268"/>
      <c r="P17" s="218"/>
    </row>
    <row r="18" spans="1:16" s="4" customFormat="1" ht="14.25" customHeight="1">
      <c r="A18" s="90">
        <v>14</v>
      </c>
      <c r="B18" s="213" t="s">
        <v>257</v>
      </c>
      <c r="C18" s="173">
        <v>40648</v>
      </c>
      <c r="D18" s="246" t="s">
        <v>118</v>
      </c>
      <c r="E18" s="241">
        <v>28</v>
      </c>
      <c r="F18" s="241">
        <v>28</v>
      </c>
      <c r="G18" s="241">
        <v>1</v>
      </c>
      <c r="H18" s="191">
        <v>67573</v>
      </c>
      <c r="I18" s="177">
        <v>6695</v>
      </c>
      <c r="J18" s="170">
        <f>(I18/F18)</f>
        <v>239.10714285714286</v>
      </c>
      <c r="K18" s="192">
        <f>H18/I18</f>
        <v>10.093054518297237</v>
      </c>
      <c r="L18" s="193">
        <f>67573</f>
        <v>67573</v>
      </c>
      <c r="M18" s="169">
        <f>6695</f>
        <v>6695</v>
      </c>
      <c r="N18" s="210">
        <f>L18/M18</f>
        <v>10.093054518297237</v>
      </c>
      <c r="O18" s="268">
        <v>1</v>
      </c>
      <c r="P18" s="218"/>
    </row>
    <row r="19" spans="1:16" s="4" customFormat="1" ht="14.25" customHeight="1">
      <c r="A19" s="90">
        <v>15</v>
      </c>
      <c r="B19" s="209" t="s">
        <v>222</v>
      </c>
      <c r="C19" s="173">
        <v>40627</v>
      </c>
      <c r="D19" s="290" t="s">
        <v>23</v>
      </c>
      <c r="E19" s="241">
        <v>80</v>
      </c>
      <c r="F19" s="241">
        <v>54</v>
      </c>
      <c r="G19" s="241">
        <v>4</v>
      </c>
      <c r="H19" s="199">
        <v>64054</v>
      </c>
      <c r="I19" s="178">
        <v>8342</v>
      </c>
      <c r="J19" s="174">
        <f>I19/F19</f>
        <v>154.4814814814815</v>
      </c>
      <c r="K19" s="294">
        <f>+H19/I19</f>
        <v>7.678494365859506</v>
      </c>
      <c r="L19" s="201">
        <v>659835</v>
      </c>
      <c r="M19" s="174">
        <v>67437</v>
      </c>
      <c r="N19" s="214">
        <f>+L19/M19</f>
        <v>9.784465501134392</v>
      </c>
      <c r="O19" s="296"/>
      <c r="P19" s="218"/>
    </row>
    <row r="20" spans="1:16" s="4" customFormat="1" ht="14.25" customHeight="1">
      <c r="A20" s="91">
        <v>16</v>
      </c>
      <c r="B20" s="213" t="s">
        <v>248</v>
      </c>
      <c r="C20" s="173">
        <v>40641</v>
      </c>
      <c r="D20" s="246" t="s">
        <v>118</v>
      </c>
      <c r="E20" s="241">
        <v>22</v>
      </c>
      <c r="F20" s="241">
        <v>22</v>
      </c>
      <c r="G20" s="241">
        <v>2</v>
      </c>
      <c r="H20" s="191">
        <v>59106.5</v>
      </c>
      <c r="I20" s="177">
        <v>4531</v>
      </c>
      <c r="J20" s="170">
        <f>(I20/F20)</f>
        <v>205.95454545454547</v>
      </c>
      <c r="K20" s="192">
        <f>H20/I20</f>
        <v>13.044912822776428</v>
      </c>
      <c r="L20" s="193">
        <f>117137.25+59106.5</f>
        <v>176243.75</v>
      </c>
      <c r="M20" s="169">
        <f>8901+4531</f>
        <v>13432</v>
      </c>
      <c r="N20" s="210">
        <f>L20/M20</f>
        <v>13.121184484812389</v>
      </c>
      <c r="O20" s="268"/>
      <c r="P20" s="218"/>
    </row>
    <row r="21" spans="1:16" s="4" customFormat="1" ht="14.25" customHeight="1">
      <c r="A21" s="90">
        <v>17</v>
      </c>
      <c r="B21" s="211" t="s">
        <v>258</v>
      </c>
      <c r="C21" s="161">
        <v>40648</v>
      </c>
      <c r="D21" s="245" t="s">
        <v>27</v>
      </c>
      <c r="E21" s="231">
        <v>10</v>
      </c>
      <c r="F21" s="231">
        <v>10</v>
      </c>
      <c r="G21" s="231">
        <v>1</v>
      </c>
      <c r="H21" s="194">
        <v>55701</v>
      </c>
      <c r="I21" s="180">
        <v>3851</v>
      </c>
      <c r="J21" s="168">
        <f>+I21/F21</f>
        <v>385.1</v>
      </c>
      <c r="K21" s="195">
        <f>+H21/I21</f>
        <v>14.464035315502468</v>
      </c>
      <c r="L21" s="196">
        <v>55701</v>
      </c>
      <c r="M21" s="167">
        <v>3851</v>
      </c>
      <c r="N21" s="212">
        <f>+L21/M21</f>
        <v>14.464035315502468</v>
      </c>
      <c r="O21" s="268"/>
      <c r="P21" s="218"/>
    </row>
    <row r="22" spans="1:16" s="4" customFormat="1" ht="14.25" customHeight="1">
      <c r="A22" s="90">
        <v>18</v>
      </c>
      <c r="B22" s="207" t="s">
        <v>259</v>
      </c>
      <c r="C22" s="161">
        <v>40627</v>
      </c>
      <c r="D22" s="244" t="s">
        <v>24</v>
      </c>
      <c r="E22" s="243">
        <v>126</v>
      </c>
      <c r="F22" s="243">
        <v>37</v>
      </c>
      <c r="G22" s="243">
        <v>4</v>
      </c>
      <c r="H22" s="188">
        <v>54706</v>
      </c>
      <c r="I22" s="176">
        <v>5187</v>
      </c>
      <c r="J22" s="163">
        <f>I22/F22</f>
        <v>140.1891891891892</v>
      </c>
      <c r="K22" s="189">
        <f>H22/I22</f>
        <v>10.546751494119915</v>
      </c>
      <c r="L22" s="190">
        <v>1396767</v>
      </c>
      <c r="M22" s="162">
        <v>124925</v>
      </c>
      <c r="N22" s="208">
        <f>+L22/M22</f>
        <v>11.180844506704023</v>
      </c>
      <c r="O22" s="268"/>
      <c r="P22" s="218"/>
    </row>
    <row r="23" spans="1:16" s="4" customFormat="1" ht="14.25" customHeight="1">
      <c r="A23" s="90">
        <v>19</v>
      </c>
      <c r="B23" s="211" t="s">
        <v>207</v>
      </c>
      <c r="C23" s="161">
        <v>40620</v>
      </c>
      <c r="D23" s="245" t="s">
        <v>27</v>
      </c>
      <c r="E23" s="231">
        <v>37</v>
      </c>
      <c r="F23" s="231">
        <v>36</v>
      </c>
      <c r="G23" s="231">
        <v>5</v>
      </c>
      <c r="H23" s="194">
        <v>45484</v>
      </c>
      <c r="I23" s="180">
        <v>5058</v>
      </c>
      <c r="J23" s="168">
        <f>+I23/F23</f>
        <v>140.5</v>
      </c>
      <c r="K23" s="195">
        <f>+H23/I23</f>
        <v>8.99248714907078</v>
      </c>
      <c r="L23" s="196">
        <v>771372</v>
      </c>
      <c r="M23" s="167">
        <v>66023</v>
      </c>
      <c r="N23" s="212">
        <f>+L23/M23</f>
        <v>11.683383063477878</v>
      </c>
      <c r="O23" s="268"/>
      <c r="P23" s="218"/>
    </row>
    <row r="24" spans="1:16" s="4" customFormat="1" ht="14.25" customHeight="1">
      <c r="A24" s="91">
        <v>20</v>
      </c>
      <c r="B24" s="547" t="s">
        <v>245</v>
      </c>
      <c r="C24" s="161">
        <v>40641</v>
      </c>
      <c r="D24" s="245" t="s">
        <v>104</v>
      </c>
      <c r="E24" s="532" t="s">
        <v>236</v>
      </c>
      <c r="F24" s="532" t="s">
        <v>236</v>
      </c>
      <c r="G24" s="532" t="s">
        <v>260</v>
      </c>
      <c r="H24" s="194">
        <v>36665</v>
      </c>
      <c r="I24" s="180">
        <v>4824</v>
      </c>
      <c r="J24" s="255">
        <v>241</v>
      </c>
      <c r="K24" s="259">
        <v>7.6</v>
      </c>
      <c r="L24" s="196">
        <v>110489</v>
      </c>
      <c r="M24" s="167">
        <v>12759</v>
      </c>
      <c r="N24" s="212">
        <f>+L24/M24</f>
        <v>8.659691198369778</v>
      </c>
      <c r="O24" s="268"/>
      <c r="P24" s="218"/>
    </row>
    <row r="25" spans="1:16" s="4" customFormat="1" ht="14.25" customHeight="1">
      <c r="A25" s="91">
        <v>21</v>
      </c>
      <c r="B25" s="207" t="s">
        <v>261</v>
      </c>
      <c r="C25" s="161">
        <v>40599</v>
      </c>
      <c r="D25" s="244" t="s">
        <v>24</v>
      </c>
      <c r="E25" s="243">
        <v>246</v>
      </c>
      <c r="F25" s="243">
        <v>40</v>
      </c>
      <c r="G25" s="243">
        <v>8</v>
      </c>
      <c r="H25" s="188">
        <v>34358</v>
      </c>
      <c r="I25" s="176">
        <v>4691</v>
      </c>
      <c r="J25" s="163">
        <f>I25/F25</f>
        <v>117.275</v>
      </c>
      <c r="K25" s="189">
        <f aca="true" t="shared" si="0" ref="K25:K30">H25/I25</f>
        <v>7.324237902366233</v>
      </c>
      <c r="L25" s="190">
        <v>7494717</v>
      </c>
      <c r="M25" s="162">
        <v>837137</v>
      </c>
      <c r="N25" s="208">
        <f>+L25/M25</f>
        <v>8.95279625676562</v>
      </c>
      <c r="O25" s="268">
        <v>1</v>
      </c>
      <c r="P25" s="218"/>
    </row>
    <row r="26" spans="1:16" s="4" customFormat="1" ht="14.25" customHeight="1">
      <c r="A26" s="90">
        <v>22</v>
      </c>
      <c r="B26" s="213" t="s">
        <v>262</v>
      </c>
      <c r="C26" s="173">
        <v>40634</v>
      </c>
      <c r="D26" s="246" t="s">
        <v>118</v>
      </c>
      <c r="E26" s="241">
        <v>36</v>
      </c>
      <c r="F26" s="241">
        <v>22</v>
      </c>
      <c r="G26" s="241">
        <v>3</v>
      </c>
      <c r="H26" s="191">
        <v>33785.5</v>
      </c>
      <c r="I26" s="177">
        <v>2662</v>
      </c>
      <c r="J26" s="170">
        <f>(I26/F26)</f>
        <v>121</v>
      </c>
      <c r="K26" s="192">
        <f t="shared" si="0"/>
        <v>12.691773102930128</v>
      </c>
      <c r="L26" s="193">
        <f>246204.5+109921+33785.5</f>
        <v>389911</v>
      </c>
      <c r="M26" s="169">
        <f>18876+8227+2662</f>
        <v>29765</v>
      </c>
      <c r="N26" s="210">
        <f>L26/M26</f>
        <v>13.099647236687385</v>
      </c>
      <c r="O26" s="268"/>
      <c r="P26" s="218"/>
    </row>
    <row r="27" spans="1:16" s="4" customFormat="1" ht="14.25" customHeight="1">
      <c r="A27" s="90">
        <v>23</v>
      </c>
      <c r="B27" s="207" t="s">
        <v>226</v>
      </c>
      <c r="C27" s="161">
        <v>40620</v>
      </c>
      <c r="D27" s="244" t="s">
        <v>24</v>
      </c>
      <c r="E27" s="243">
        <v>89</v>
      </c>
      <c r="F27" s="243">
        <v>44</v>
      </c>
      <c r="G27" s="243">
        <v>5</v>
      </c>
      <c r="H27" s="188">
        <v>30897</v>
      </c>
      <c r="I27" s="176">
        <v>4587</v>
      </c>
      <c r="J27" s="163">
        <f>I27/F27</f>
        <v>104.25</v>
      </c>
      <c r="K27" s="189">
        <f t="shared" si="0"/>
        <v>6.735775016350556</v>
      </c>
      <c r="L27" s="190">
        <v>1115838</v>
      </c>
      <c r="M27" s="162">
        <v>109264</v>
      </c>
      <c r="N27" s="208">
        <f>+L27/M27</f>
        <v>10.212311465807586</v>
      </c>
      <c r="O27" s="268"/>
      <c r="P27" s="218"/>
    </row>
    <row r="28" spans="1:16" s="4" customFormat="1" ht="14.25" customHeight="1">
      <c r="A28" s="90">
        <v>24</v>
      </c>
      <c r="B28" s="455" t="s">
        <v>233</v>
      </c>
      <c r="C28" s="432">
        <v>40634</v>
      </c>
      <c r="D28" s="431" t="s">
        <v>227</v>
      </c>
      <c r="E28" s="433">
        <v>1</v>
      </c>
      <c r="F28" s="433">
        <v>1</v>
      </c>
      <c r="G28" s="433">
        <v>3</v>
      </c>
      <c r="H28" s="436">
        <v>27880</v>
      </c>
      <c r="I28" s="437">
        <v>2788</v>
      </c>
      <c r="J28" s="163">
        <f>I28/F28</f>
        <v>2788</v>
      </c>
      <c r="K28" s="189">
        <f t="shared" si="0"/>
        <v>10</v>
      </c>
      <c r="L28" s="438">
        <v>115340</v>
      </c>
      <c r="M28" s="439">
        <v>11534</v>
      </c>
      <c r="N28" s="208">
        <f>+L28/M28</f>
        <v>10</v>
      </c>
      <c r="O28" s="268"/>
      <c r="P28" s="218"/>
    </row>
    <row r="29" spans="1:16" s="4" customFormat="1" ht="14.25" customHeight="1">
      <c r="A29" s="91">
        <v>25</v>
      </c>
      <c r="B29" s="209" t="s">
        <v>170</v>
      </c>
      <c r="C29" s="173">
        <v>40599</v>
      </c>
      <c r="D29" s="246" t="s">
        <v>118</v>
      </c>
      <c r="E29" s="241">
        <v>58</v>
      </c>
      <c r="F29" s="241">
        <v>24</v>
      </c>
      <c r="G29" s="241">
        <v>8</v>
      </c>
      <c r="H29" s="191">
        <v>26018</v>
      </c>
      <c r="I29" s="177">
        <v>3726</v>
      </c>
      <c r="J29" s="170">
        <f>(I29/F29)</f>
        <v>155.25</v>
      </c>
      <c r="K29" s="192">
        <f t="shared" si="0"/>
        <v>6.982823403113258</v>
      </c>
      <c r="L29" s="193">
        <f>949627.55+646695.25+355755.95+109363.25+47014.5+33893+37764+26018</f>
        <v>2206131.5</v>
      </c>
      <c r="M29" s="169">
        <f>77399+54036+29350+9290+5968+4492+5157+3726</f>
        <v>189418</v>
      </c>
      <c r="N29" s="210">
        <f>L29/M29</f>
        <v>11.646894698497503</v>
      </c>
      <c r="O29" s="268"/>
      <c r="P29" s="218"/>
    </row>
    <row r="30" spans="1:16" s="4" customFormat="1" ht="14.25" customHeight="1">
      <c r="A30" s="91">
        <v>26</v>
      </c>
      <c r="B30" s="209" t="s">
        <v>241</v>
      </c>
      <c r="C30" s="173">
        <v>40613</v>
      </c>
      <c r="D30" s="246" t="s">
        <v>118</v>
      </c>
      <c r="E30" s="241">
        <v>25</v>
      </c>
      <c r="F30" s="241">
        <v>23</v>
      </c>
      <c r="G30" s="241">
        <v>6</v>
      </c>
      <c r="H30" s="191">
        <v>20460.5</v>
      </c>
      <c r="I30" s="177">
        <v>3124</v>
      </c>
      <c r="J30" s="170">
        <f>(I30/F30)</f>
        <v>135.82608695652175</v>
      </c>
      <c r="K30" s="192">
        <f t="shared" si="0"/>
        <v>6.5494558258642765</v>
      </c>
      <c r="L30" s="193">
        <f>75934+53479.5+29060+17465+26762+20460.5</f>
        <v>223161</v>
      </c>
      <c r="M30" s="169">
        <f>9554+7103+4053+2490+4055+3124</f>
        <v>30379</v>
      </c>
      <c r="N30" s="210">
        <f>L30/M30</f>
        <v>7.345896836630567</v>
      </c>
      <c r="O30" s="425">
        <v>1</v>
      </c>
      <c r="P30" s="218"/>
    </row>
    <row r="31" spans="1:16" s="4" customFormat="1" ht="14.25" customHeight="1">
      <c r="A31" s="90">
        <v>27</v>
      </c>
      <c r="B31" s="209" t="s">
        <v>172</v>
      </c>
      <c r="C31" s="173">
        <v>40592</v>
      </c>
      <c r="D31" s="290" t="s">
        <v>23</v>
      </c>
      <c r="E31" s="241">
        <v>27</v>
      </c>
      <c r="F31" s="241">
        <v>21</v>
      </c>
      <c r="G31" s="241">
        <v>9</v>
      </c>
      <c r="H31" s="199">
        <v>20337</v>
      </c>
      <c r="I31" s="178">
        <v>3426</v>
      </c>
      <c r="J31" s="174">
        <f>I31/F31</f>
        <v>163.14285714285714</v>
      </c>
      <c r="K31" s="294">
        <f>+H31/I31</f>
        <v>5.936077057793345</v>
      </c>
      <c r="L31" s="201">
        <v>1884337</v>
      </c>
      <c r="M31" s="174">
        <v>148501</v>
      </c>
      <c r="N31" s="214">
        <f>+L31/M31</f>
        <v>12.689052598972397</v>
      </c>
      <c r="O31" s="296"/>
      <c r="P31" s="218"/>
    </row>
    <row r="32" spans="1:16" s="4" customFormat="1" ht="14.25" customHeight="1">
      <c r="A32" s="90">
        <v>28</v>
      </c>
      <c r="B32" s="211" t="s">
        <v>263</v>
      </c>
      <c r="C32" s="161">
        <v>40613</v>
      </c>
      <c r="D32" s="232" t="s">
        <v>25</v>
      </c>
      <c r="E32" s="231">
        <v>105</v>
      </c>
      <c r="F32" s="231">
        <v>18</v>
      </c>
      <c r="G32" s="231">
        <v>6</v>
      </c>
      <c r="H32" s="202">
        <v>17765.5</v>
      </c>
      <c r="I32" s="179">
        <v>2686</v>
      </c>
      <c r="J32" s="172">
        <f>I32/F32</f>
        <v>149.22222222222223</v>
      </c>
      <c r="K32" s="203">
        <f>H32/I32</f>
        <v>6.614110201042442</v>
      </c>
      <c r="L32" s="204">
        <v>878302</v>
      </c>
      <c r="M32" s="171">
        <v>98869</v>
      </c>
      <c r="N32" s="215">
        <f>+L32/M32</f>
        <v>8.883492297889125</v>
      </c>
      <c r="O32" s="268">
        <v>1</v>
      </c>
      <c r="P32" s="218"/>
    </row>
    <row r="33" spans="1:16" s="4" customFormat="1" ht="14.25" customHeight="1">
      <c r="A33" s="90">
        <v>29</v>
      </c>
      <c r="B33" s="211" t="s">
        <v>264</v>
      </c>
      <c r="C33" s="161">
        <v>40634</v>
      </c>
      <c r="D33" s="232" t="s">
        <v>25</v>
      </c>
      <c r="E33" s="231">
        <v>44</v>
      </c>
      <c r="F33" s="231">
        <v>16</v>
      </c>
      <c r="G33" s="231">
        <v>3</v>
      </c>
      <c r="H33" s="202">
        <v>17336.5</v>
      </c>
      <c r="I33" s="179">
        <v>2103</v>
      </c>
      <c r="J33" s="172">
        <f>I33/F33</f>
        <v>131.4375</v>
      </c>
      <c r="K33" s="203">
        <f>H33/I33</f>
        <v>8.243699476937708</v>
      </c>
      <c r="L33" s="204">
        <v>172408.25</v>
      </c>
      <c r="M33" s="171">
        <v>18837</v>
      </c>
      <c r="N33" s="215">
        <f>+L33/M33</f>
        <v>9.152638424377555</v>
      </c>
      <c r="O33" s="268">
        <v>1</v>
      </c>
      <c r="P33" s="218"/>
    </row>
    <row r="34" spans="1:16" s="4" customFormat="1" ht="14.25" customHeight="1">
      <c r="A34" s="91">
        <v>30</v>
      </c>
      <c r="B34" s="209" t="s">
        <v>265</v>
      </c>
      <c r="C34" s="173">
        <v>40620</v>
      </c>
      <c r="D34" s="290" t="s">
        <v>23</v>
      </c>
      <c r="E34" s="241">
        <v>51</v>
      </c>
      <c r="F34" s="241">
        <v>17</v>
      </c>
      <c r="G34" s="241">
        <v>5</v>
      </c>
      <c r="H34" s="199">
        <v>15775</v>
      </c>
      <c r="I34" s="178">
        <v>2019</v>
      </c>
      <c r="J34" s="174">
        <f>I34/F34</f>
        <v>118.76470588235294</v>
      </c>
      <c r="K34" s="294">
        <f>+H34/I34</f>
        <v>7.8132738979692915</v>
      </c>
      <c r="L34" s="201">
        <v>832794</v>
      </c>
      <c r="M34" s="174">
        <v>69764</v>
      </c>
      <c r="N34" s="214">
        <f>+L34/M34</f>
        <v>11.93730290694341</v>
      </c>
      <c r="O34" s="296"/>
      <c r="P34" s="218"/>
    </row>
    <row r="35" spans="1:16" s="4" customFormat="1" ht="14.25" customHeight="1">
      <c r="A35" s="91">
        <v>31</v>
      </c>
      <c r="B35" s="207" t="s">
        <v>266</v>
      </c>
      <c r="C35" s="161">
        <v>40606</v>
      </c>
      <c r="D35" s="244" t="s">
        <v>17</v>
      </c>
      <c r="E35" s="243">
        <v>152</v>
      </c>
      <c r="F35" s="243">
        <v>23</v>
      </c>
      <c r="G35" s="243">
        <v>7</v>
      </c>
      <c r="H35" s="197">
        <v>15124.5</v>
      </c>
      <c r="I35" s="181">
        <v>2561</v>
      </c>
      <c r="J35" s="168">
        <f>IF(H35&lt;&gt;0,I35/F35,"")</f>
        <v>111.34782608695652</v>
      </c>
      <c r="K35" s="195">
        <f>IF(H35&lt;&gt;0,H35/I35,"")</f>
        <v>5.9057008980866845</v>
      </c>
      <c r="L35" s="198">
        <f>1064857.25+602581.25+269086.5+86552+70688+40243.5+H35</f>
        <v>2149133</v>
      </c>
      <c r="M35" s="174">
        <f>118954+67997+33243+12973+11521+6623++I35</f>
        <v>253872</v>
      </c>
      <c r="N35" s="212">
        <f>IF(L35&lt;&gt;0,L35/M35,"")</f>
        <v>8.465419581521397</v>
      </c>
      <c r="O35" s="268">
        <v>1</v>
      </c>
      <c r="P35" s="218"/>
    </row>
    <row r="36" spans="1:16" s="4" customFormat="1" ht="14.25" customHeight="1">
      <c r="A36" s="90">
        <v>32</v>
      </c>
      <c r="B36" s="209" t="s">
        <v>242</v>
      </c>
      <c r="C36" s="173">
        <v>40620</v>
      </c>
      <c r="D36" s="246" t="s">
        <v>118</v>
      </c>
      <c r="E36" s="241">
        <v>18</v>
      </c>
      <c r="F36" s="241">
        <v>18</v>
      </c>
      <c r="G36" s="241">
        <v>5</v>
      </c>
      <c r="H36" s="191">
        <v>13989</v>
      </c>
      <c r="I36" s="177">
        <v>1964</v>
      </c>
      <c r="J36" s="170">
        <f>(I36/F36)</f>
        <v>109.11111111111111</v>
      </c>
      <c r="K36" s="192">
        <f>H36/I36</f>
        <v>7.122708757637475</v>
      </c>
      <c r="L36" s="193">
        <f>39453.5+44225+30459.5+23462+13989</f>
        <v>151589</v>
      </c>
      <c r="M36" s="169">
        <f>5345+6302+4080+3427+1964</f>
        <v>21118</v>
      </c>
      <c r="N36" s="210">
        <f>L36/M36</f>
        <v>7.1781892224642485</v>
      </c>
      <c r="O36" s="268">
        <v>1</v>
      </c>
      <c r="P36" s="218"/>
    </row>
    <row r="37" spans="1:16" s="4" customFormat="1" ht="14.25" customHeight="1">
      <c r="A37" s="90">
        <v>33</v>
      </c>
      <c r="B37" s="209" t="s">
        <v>267</v>
      </c>
      <c r="C37" s="173">
        <v>40550</v>
      </c>
      <c r="D37" s="246" t="s">
        <v>26</v>
      </c>
      <c r="E37" s="241">
        <v>238</v>
      </c>
      <c r="F37" s="241">
        <v>4</v>
      </c>
      <c r="G37" s="241">
        <v>14</v>
      </c>
      <c r="H37" s="199">
        <v>13851</v>
      </c>
      <c r="I37" s="178">
        <v>2547</v>
      </c>
      <c r="J37" s="174">
        <f>I37/F37</f>
        <v>636.75</v>
      </c>
      <c r="K37" s="294">
        <f>H37/I37</f>
        <v>5.438162544169611</v>
      </c>
      <c r="L37" s="201">
        <f>3050831.5+2178855.5+1196710.5+496983-200+210922.5+72277.5+4+43197.5+17348.5+5963-21+911+2090+3211+288+13851</f>
        <v>7293223.5</v>
      </c>
      <c r="M37" s="174">
        <f>393137+282255+156413+64920+60+27548+10641+7089+3227+1196+161+455+643+72+2547</f>
        <v>950364</v>
      </c>
      <c r="N37" s="214">
        <f>L37/M37</f>
        <v>7.674136962258672</v>
      </c>
      <c r="O37" s="268">
        <v>1</v>
      </c>
      <c r="P37" s="218"/>
    </row>
    <row r="38" spans="1:16" s="4" customFormat="1" ht="14.25" customHeight="1">
      <c r="A38" s="90">
        <v>34</v>
      </c>
      <c r="B38" s="209" t="s">
        <v>163</v>
      </c>
      <c r="C38" s="173">
        <v>40592</v>
      </c>
      <c r="D38" s="246" t="s">
        <v>118</v>
      </c>
      <c r="E38" s="241">
        <v>26</v>
      </c>
      <c r="F38" s="241">
        <v>10</v>
      </c>
      <c r="G38" s="241">
        <v>9</v>
      </c>
      <c r="H38" s="191">
        <v>13722.5</v>
      </c>
      <c r="I38" s="177">
        <v>2056</v>
      </c>
      <c r="J38" s="170">
        <f>(I38/F38)</f>
        <v>205.6</v>
      </c>
      <c r="K38" s="192">
        <f>H38/I38</f>
        <v>6.674367704280155</v>
      </c>
      <c r="L38" s="193">
        <f>237198+117355.25+39279+7609+10490+5994.5+4177+5529+13722.5</f>
        <v>441354.25</v>
      </c>
      <c r="M38" s="169">
        <f>20106+9312+4270+1420+2469+1087+657+754+2056</f>
        <v>42131</v>
      </c>
      <c r="N38" s="210">
        <f>L38/M38</f>
        <v>10.475760129121074</v>
      </c>
      <c r="O38" s="268"/>
      <c r="P38" s="218"/>
    </row>
    <row r="39" spans="1:16" s="4" customFormat="1" ht="14.25" customHeight="1">
      <c r="A39" s="91">
        <v>35</v>
      </c>
      <c r="B39" s="209" t="s">
        <v>195</v>
      </c>
      <c r="C39" s="173">
        <v>40606</v>
      </c>
      <c r="D39" s="290" t="s">
        <v>23</v>
      </c>
      <c r="E39" s="241">
        <v>104</v>
      </c>
      <c r="F39" s="241">
        <v>19</v>
      </c>
      <c r="G39" s="241">
        <v>7</v>
      </c>
      <c r="H39" s="199">
        <v>13647</v>
      </c>
      <c r="I39" s="178">
        <v>2320</v>
      </c>
      <c r="J39" s="174">
        <f>I39/F39</f>
        <v>122.10526315789474</v>
      </c>
      <c r="K39" s="294">
        <f>+H39/I39</f>
        <v>5.882327586206896</v>
      </c>
      <c r="L39" s="201">
        <v>1250019</v>
      </c>
      <c r="M39" s="174">
        <v>126055</v>
      </c>
      <c r="N39" s="214">
        <f>+L39/M39</f>
        <v>9.916457102058626</v>
      </c>
      <c r="O39" s="296"/>
      <c r="P39" s="218"/>
    </row>
    <row r="40" spans="1:16" s="4" customFormat="1" ht="14.25" customHeight="1">
      <c r="A40" s="91">
        <v>36</v>
      </c>
      <c r="B40" s="207" t="s">
        <v>87</v>
      </c>
      <c r="C40" s="161">
        <v>40515</v>
      </c>
      <c r="D40" s="244" t="s">
        <v>24</v>
      </c>
      <c r="E40" s="243">
        <v>337</v>
      </c>
      <c r="F40" s="243">
        <v>2</v>
      </c>
      <c r="G40" s="243">
        <v>18</v>
      </c>
      <c r="H40" s="188">
        <v>9524</v>
      </c>
      <c r="I40" s="176">
        <v>2381</v>
      </c>
      <c r="J40" s="163">
        <f>I40/F40</f>
        <v>1190.5</v>
      </c>
      <c r="K40" s="189">
        <f>H40/I40</f>
        <v>4</v>
      </c>
      <c r="L40" s="190">
        <v>19662096</v>
      </c>
      <c r="M40" s="162">
        <v>2102025</v>
      </c>
      <c r="N40" s="208">
        <f>+L40/M40</f>
        <v>9.353883041352981</v>
      </c>
      <c r="O40" s="268">
        <v>1</v>
      </c>
      <c r="P40" s="218"/>
    </row>
    <row r="41" spans="1:16" s="4" customFormat="1" ht="14.25" customHeight="1">
      <c r="A41" s="90">
        <v>37</v>
      </c>
      <c r="B41" s="209" t="s">
        <v>268</v>
      </c>
      <c r="C41" s="173">
        <v>40571</v>
      </c>
      <c r="D41" s="246" t="s">
        <v>26</v>
      </c>
      <c r="E41" s="241">
        <v>364</v>
      </c>
      <c r="F41" s="241">
        <v>3</v>
      </c>
      <c r="G41" s="241">
        <v>12</v>
      </c>
      <c r="H41" s="199">
        <v>9382</v>
      </c>
      <c r="I41" s="178">
        <v>1560</v>
      </c>
      <c r="J41" s="174">
        <f>I41/F41</f>
        <v>520</v>
      </c>
      <c r="K41" s="294">
        <f>H41/I41</f>
        <v>6.014102564102564</v>
      </c>
      <c r="L41" s="201">
        <f>9270289+4217769.25+1762200.5+76.25+863944.5+635392-7+421743.5+30+17848+42283+4475+2710+9188.5+236+9382</f>
        <v>17257560.5</v>
      </c>
      <c r="M41" s="174">
        <f>1060415+493112+207846+16+104665+81570-1+60457+6+2952+6890+337+594+1519+29+1560</f>
        <v>2021967</v>
      </c>
      <c r="N41" s="214">
        <f>L41/M41</f>
        <v>8.535035685547786</v>
      </c>
      <c r="O41" s="268">
        <v>1</v>
      </c>
      <c r="P41" s="218"/>
    </row>
    <row r="42" spans="1:16" s="4" customFormat="1" ht="14.25" customHeight="1">
      <c r="A42" s="90">
        <v>38</v>
      </c>
      <c r="B42" s="548" t="s">
        <v>269</v>
      </c>
      <c r="C42" s="534">
        <v>40613</v>
      </c>
      <c r="D42" s="533" t="s">
        <v>169</v>
      </c>
      <c r="E42" s="535">
        <v>25</v>
      </c>
      <c r="F42" s="535">
        <v>11</v>
      </c>
      <c r="G42" s="535">
        <v>6</v>
      </c>
      <c r="H42" s="536">
        <v>8256</v>
      </c>
      <c r="I42" s="537">
        <v>1005</v>
      </c>
      <c r="J42" s="538">
        <f>I42/F42</f>
        <v>91.36363636363636</v>
      </c>
      <c r="K42" s="539">
        <f>H42/I42</f>
        <v>8.214925373134328</v>
      </c>
      <c r="L42" s="540">
        <v>176228.5</v>
      </c>
      <c r="M42" s="538">
        <v>21726</v>
      </c>
      <c r="N42" s="549">
        <f>L42/M42</f>
        <v>8.111410291816258</v>
      </c>
      <c r="O42" s="268">
        <v>1</v>
      </c>
      <c r="P42" s="218"/>
    </row>
    <row r="43" spans="1:16" s="4" customFormat="1" ht="14.25" customHeight="1">
      <c r="A43" s="90">
        <v>39</v>
      </c>
      <c r="B43" s="213" t="s">
        <v>270</v>
      </c>
      <c r="C43" s="173">
        <v>40585</v>
      </c>
      <c r="D43" s="246" t="s">
        <v>118</v>
      </c>
      <c r="E43" s="241">
        <v>58</v>
      </c>
      <c r="F43" s="241">
        <v>10</v>
      </c>
      <c r="G43" s="241">
        <v>10</v>
      </c>
      <c r="H43" s="191">
        <v>8179.5</v>
      </c>
      <c r="I43" s="177">
        <v>1175</v>
      </c>
      <c r="J43" s="170">
        <f>(I43/F43)</f>
        <v>117.5</v>
      </c>
      <c r="K43" s="192">
        <f>H43/I43</f>
        <v>6.961276595744681</v>
      </c>
      <c r="L43" s="193">
        <f>236018+209847.25+105622+138051.5+64189.5+34454+20202.5+27754+16946+8179.5</f>
        <v>861264.25</v>
      </c>
      <c r="M43" s="169">
        <f>25731+24506+13184+19079+9581+4996+3067+4392+3122+1175</f>
        <v>108833</v>
      </c>
      <c r="N43" s="210">
        <f>L43/M43</f>
        <v>7.913631435318332</v>
      </c>
      <c r="O43" s="268">
        <v>1</v>
      </c>
      <c r="P43" s="218"/>
    </row>
    <row r="44" spans="1:16" s="4" customFormat="1" ht="14.25" customHeight="1">
      <c r="A44" s="90">
        <v>40</v>
      </c>
      <c r="B44" s="213" t="s">
        <v>171</v>
      </c>
      <c r="C44" s="173">
        <v>40599</v>
      </c>
      <c r="D44" s="246" t="s">
        <v>118</v>
      </c>
      <c r="E44" s="241">
        <v>60</v>
      </c>
      <c r="F44" s="241">
        <v>9</v>
      </c>
      <c r="G44" s="241">
        <v>8</v>
      </c>
      <c r="H44" s="191">
        <v>8102.5</v>
      </c>
      <c r="I44" s="177">
        <v>1230</v>
      </c>
      <c r="J44" s="170">
        <f>(I44/F44)</f>
        <v>136.66666666666666</v>
      </c>
      <c r="K44" s="192">
        <f>H44/I44</f>
        <v>6.587398373983739</v>
      </c>
      <c r="L44" s="193">
        <f>324952+205669.75+36076.25+7149.5+4976+6474+8888+8102.5</f>
        <v>602288</v>
      </c>
      <c r="M44" s="169">
        <f>28582+18445+3670+1269+845+865+1858+1230</f>
        <v>56764</v>
      </c>
      <c r="N44" s="210">
        <f>L44/M44</f>
        <v>10.610386864914382</v>
      </c>
      <c r="O44" s="268"/>
      <c r="P44" s="218"/>
    </row>
    <row r="45" spans="1:16" s="4" customFormat="1" ht="14.25" customHeight="1">
      <c r="A45" s="91">
        <v>41</v>
      </c>
      <c r="B45" s="209" t="s">
        <v>271</v>
      </c>
      <c r="C45" s="173">
        <v>40550</v>
      </c>
      <c r="D45" s="290" t="s">
        <v>23</v>
      </c>
      <c r="E45" s="241">
        <v>356</v>
      </c>
      <c r="F45" s="241">
        <v>5</v>
      </c>
      <c r="G45" s="241">
        <v>15</v>
      </c>
      <c r="H45" s="199">
        <v>6607</v>
      </c>
      <c r="I45" s="178">
        <v>1873</v>
      </c>
      <c r="J45" s="174">
        <f>I45/F45</f>
        <v>374.6</v>
      </c>
      <c r="K45" s="294">
        <f>+H45/I45</f>
        <v>3.5274959957287773</v>
      </c>
      <c r="L45" s="201">
        <v>36518893</v>
      </c>
      <c r="M45" s="174">
        <v>3915056</v>
      </c>
      <c r="N45" s="214">
        <f>+L45/M45</f>
        <v>9.327808593287044</v>
      </c>
      <c r="O45" s="296">
        <v>1</v>
      </c>
      <c r="P45" s="218"/>
    </row>
    <row r="46" spans="1:16" s="4" customFormat="1" ht="14.25" customHeight="1">
      <c r="A46" s="90">
        <v>42</v>
      </c>
      <c r="B46" s="209" t="s">
        <v>71</v>
      </c>
      <c r="C46" s="173">
        <v>40536</v>
      </c>
      <c r="D46" s="290" t="s">
        <v>23</v>
      </c>
      <c r="E46" s="241">
        <v>112</v>
      </c>
      <c r="F46" s="241">
        <v>3</v>
      </c>
      <c r="G46" s="241">
        <v>17</v>
      </c>
      <c r="H46" s="199">
        <v>5237</v>
      </c>
      <c r="I46" s="178">
        <v>1250</v>
      </c>
      <c r="J46" s="174">
        <f>I46/F46</f>
        <v>416.6666666666667</v>
      </c>
      <c r="K46" s="294">
        <f>+H46/I46</f>
        <v>4.1896</v>
      </c>
      <c r="L46" s="201">
        <v>2754565</v>
      </c>
      <c r="M46" s="174">
        <v>246263</v>
      </c>
      <c r="N46" s="214">
        <f>+L46/M46</f>
        <v>11.185460259965971</v>
      </c>
      <c r="O46" s="296"/>
      <c r="P46" s="218"/>
    </row>
    <row r="47" spans="1:16" s="4" customFormat="1" ht="14.25" customHeight="1">
      <c r="A47" s="90">
        <v>43</v>
      </c>
      <c r="B47" s="207" t="s">
        <v>127</v>
      </c>
      <c r="C47" s="161">
        <v>40564</v>
      </c>
      <c r="D47" s="244" t="s">
        <v>24</v>
      </c>
      <c r="E47" s="243">
        <v>109</v>
      </c>
      <c r="F47" s="243">
        <v>14</v>
      </c>
      <c r="G47" s="243">
        <v>13</v>
      </c>
      <c r="H47" s="188">
        <v>4972</v>
      </c>
      <c r="I47" s="176">
        <v>994</v>
      </c>
      <c r="J47" s="163">
        <f>I47/F47</f>
        <v>71</v>
      </c>
      <c r="K47" s="189">
        <f>H47/I47</f>
        <v>5.002012072434607</v>
      </c>
      <c r="L47" s="190">
        <v>3959056</v>
      </c>
      <c r="M47" s="162">
        <v>399507</v>
      </c>
      <c r="N47" s="208">
        <f>+L47/M47</f>
        <v>9.909853894925496</v>
      </c>
      <c r="O47" s="268"/>
      <c r="P47" s="218"/>
    </row>
    <row r="48" spans="1:16" s="4" customFormat="1" ht="14.25" customHeight="1">
      <c r="A48" s="90">
        <v>44</v>
      </c>
      <c r="B48" s="213" t="s">
        <v>239</v>
      </c>
      <c r="C48" s="175">
        <v>40613</v>
      </c>
      <c r="D48" s="246" t="s">
        <v>118</v>
      </c>
      <c r="E48" s="247">
        <v>22</v>
      </c>
      <c r="F48" s="247">
        <v>6</v>
      </c>
      <c r="G48" s="247">
        <v>5</v>
      </c>
      <c r="H48" s="191">
        <v>4533</v>
      </c>
      <c r="I48" s="177">
        <v>667</v>
      </c>
      <c r="J48" s="170">
        <f>(I48/F48)</f>
        <v>111.16666666666667</v>
      </c>
      <c r="K48" s="192">
        <f>H48/I48</f>
        <v>6.796101949025488</v>
      </c>
      <c r="L48" s="193">
        <f>116753+45641.5+1507+3664+4533</f>
        <v>172098.5</v>
      </c>
      <c r="M48" s="169">
        <f>8727+3759+162+393+667</f>
        <v>13708</v>
      </c>
      <c r="N48" s="210">
        <f>L48/M48</f>
        <v>12.554603151444413</v>
      </c>
      <c r="O48" s="268"/>
      <c r="P48" s="218"/>
    </row>
    <row r="49" spans="1:16" s="4" customFormat="1" ht="14.25" customHeight="1">
      <c r="A49" s="90">
        <v>45</v>
      </c>
      <c r="B49" s="548" t="s">
        <v>224</v>
      </c>
      <c r="C49" s="534">
        <v>40627</v>
      </c>
      <c r="D49" s="533" t="s">
        <v>169</v>
      </c>
      <c r="E49" s="535">
        <v>2</v>
      </c>
      <c r="F49" s="535">
        <v>2</v>
      </c>
      <c r="G49" s="535">
        <v>4</v>
      </c>
      <c r="H49" s="536">
        <v>4290</v>
      </c>
      <c r="I49" s="537">
        <v>446</v>
      </c>
      <c r="J49" s="538">
        <f>I49/F49</f>
        <v>223</v>
      </c>
      <c r="K49" s="539">
        <f>H49/I49</f>
        <v>9.61883408071749</v>
      </c>
      <c r="L49" s="540">
        <v>10235</v>
      </c>
      <c r="M49" s="538">
        <v>1167</v>
      </c>
      <c r="N49" s="549">
        <f>L49/M49</f>
        <v>8.770351328191945</v>
      </c>
      <c r="O49" s="268"/>
      <c r="P49" s="218"/>
    </row>
    <row r="50" spans="1:16" s="4" customFormat="1" ht="14.25" customHeight="1">
      <c r="A50" s="91">
        <v>46</v>
      </c>
      <c r="B50" s="209" t="s">
        <v>119</v>
      </c>
      <c r="C50" s="173">
        <v>40557</v>
      </c>
      <c r="D50" s="246" t="s">
        <v>169</v>
      </c>
      <c r="E50" s="241">
        <v>7</v>
      </c>
      <c r="F50" s="241">
        <v>3</v>
      </c>
      <c r="G50" s="241">
        <v>10</v>
      </c>
      <c r="H50" s="199">
        <v>4133</v>
      </c>
      <c r="I50" s="178">
        <v>400</v>
      </c>
      <c r="J50" s="174">
        <f>I50/F50</f>
        <v>133.33333333333334</v>
      </c>
      <c r="K50" s="294">
        <f>H50/I50</f>
        <v>10.3325</v>
      </c>
      <c r="L50" s="201">
        <v>101310</v>
      </c>
      <c r="M50" s="174">
        <v>7666</v>
      </c>
      <c r="N50" s="214">
        <f>L50/M50</f>
        <v>13.215496999739107</v>
      </c>
      <c r="O50" s="268"/>
      <c r="P50" s="218"/>
    </row>
    <row r="51" spans="1:16" s="4" customFormat="1" ht="14.25" customHeight="1">
      <c r="A51" s="90">
        <v>47</v>
      </c>
      <c r="B51" s="209" t="s">
        <v>137</v>
      </c>
      <c r="C51" s="173">
        <v>40571</v>
      </c>
      <c r="D51" s="246" t="s">
        <v>103</v>
      </c>
      <c r="E51" s="241">
        <v>20</v>
      </c>
      <c r="F51" s="241">
        <v>3</v>
      </c>
      <c r="G51" s="241">
        <v>11</v>
      </c>
      <c r="H51" s="234">
        <v>3730</v>
      </c>
      <c r="I51" s="235">
        <v>693</v>
      </c>
      <c r="J51" s="251">
        <v>231</v>
      </c>
      <c r="K51" s="252">
        <v>5.382395382395383</v>
      </c>
      <c r="L51" s="237">
        <v>765329</v>
      </c>
      <c r="M51" s="236">
        <v>63183</v>
      </c>
      <c r="N51" s="267">
        <v>12.11289429118592</v>
      </c>
      <c r="O51" s="268"/>
      <c r="P51" s="218"/>
    </row>
    <row r="52" spans="1:16" s="4" customFormat="1" ht="14.25" customHeight="1">
      <c r="A52" s="90">
        <v>48</v>
      </c>
      <c r="B52" s="207" t="s">
        <v>147</v>
      </c>
      <c r="C52" s="161">
        <v>40585</v>
      </c>
      <c r="D52" s="244" t="s">
        <v>24</v>
      </c>
      <c r="E52" s="243">
        <v>89</v>
      </c>
      <c r="F52" s="243">
        <v>5</v>
      </c>
      <c r="G52" s="243">
        <v>9</v>
      </c>
      <c r="H52" s="188">
        <v>3098</v>
      </c>
      <c r="I52" s="176">
        <v>424</v>
      </c>
      <c r="J52" s="163">
        <f>I52/F52</f>
        <v>84.8</v>
      </c>
      <c r="K52" s="189">
        <f>H52/I52</f>
        <v>7.306603773584905</v>
      </c>
      <c r="L52" s="190">
        <v>1435238</v>
      </c>
      <c r="M52" s="162">
        <v>143985</v>
      </c>
      <c r="N52" s="208">
        <f>+L52/M52</f>
        <v>9.96796888564781</v>
      </c>
      <c r="O52" s="268"/>
      <c r="P52" s="218"/>
    </row>
    <row r="53" spans="1:16" s="4" customFormat="1" ht="14.25" customHeight="1">
      <c r="A53" s="90">
        <v>49</v>
      </c>
      <c r="B53" s="205" t="s">
        <v>120</v>
      </c>
      <c r="C53" s="164">
        <v>40557</v>
      </c>
      <c r="D53" s="242" t="s">
        <v>103</v>
      </c>
      <c r="E53" s="241">
        <v>12</v>
      </c>
      <c r="F53" s="241">
        <v>2</v>
      </c>
      <c r="G53" s="241">
        <v>7</v>
      </c>
      <c r="H53" s="234">
        <v>2537</v>
      </c>
      <c r="I53" s="235">
        <v>507</v>
      </c>
      <c r="J53" s="251">
        <v>253.5</v>
      </c>
      <c r="K53" s="252">
        <v>5.003944773175542</v>
      </c>
      <c r="L53" s="237">
        <v>25081</v>
      </c>
      <c r="M53" s="236">
        <v>2782</v>
      </c>
      <c r="N53" s="267">
        <v>9.015456506110711</v>
      </c>
      <c r="O53" s="268"/>
      <c r="P53" s="218"/>
    </row>
    <row r="54" spans="1:16" s="4" customFormat="1" ht="14.25" customHeight="1">
      <c r="A54" s="90">
        <v>50</v>
      </c>
      <c r="B54" s="213" t="s">
        <v>223</v>
      </c>
      <c r="C54" s="164">
        <v>40627</v>
      </c>
      <c r="D54" s="242" t="s">
        <v>118</v>
      </c>
      <c r="E54" s="241">
        <v>28</v>
      </c>
      <c r="F54" s="241">
        <v>4</v>
      </c>
      <c r="G54" s="241">
        <v>4</v>
      </c>
      <c r="H54" s="191">
        <v>2517</v>
      </c>
      <c r="I54" s="177">
        <v>545</v>
      </c>
      <c r="J54" s="170">
        <f>(I54/F54)</f>
        <v>136.25</v>
      </c>
      <c r="K54" s="192">
        <f>H54/I54</f>
        <v>4.618348623853211</v>
      </c>
      <c r="L54" s="193">
        <f>43236.5+18123.5+2183+2517</f>
        <v>66060</v>
      </c>
      <c r="M54" s="169">
        <f>4478+2475+287+545</f>
        <v>7785</v>
      </c>
      <c r="N54" s="210">
        <f>L54/M54</f>
        <v>8.485549132947977</v>
      </c>
      <c r="O54" s="268"/>
      <c r="P54" s="218"/>
    </row>
    <row r="55" spans="1:16" s="4" customFormat="1" ht="14.25" customHeight="1">
      <c r="A55" s="91">
        <v>51</v>
      </c>
      <c r="B55" s="213" t="s">
        <v>272</v>
      </c>
      <c r="C55" s="164">
        <v>39941</v>
      </c>
      <c r="D55" s="242" t="s">
        <v>118</v>
      </c>
      <c r="E55" s="241">
        <v>26</v>
      </c>
      <c r="F55" s="241">
        <v>1</v>
      </c>
      <c r="G55" s="241">
        <v>26</v>
      </c>
      <c r="H55" s="191">
        <v>2376</v>
      </c>
      <c r="I55" s="177">
        <v>594</v>
      </c>
      <c r="J55" s="170">
        <f>(I55/F55)</f>
        <v>594</v>
      </c>
      <c r="K55" s="192">
        <f>H55/I55</f>
        <v>4</v>
      </c>
      <c r="L55" s="193">
        <f>36482.75+16583.5+5922.75+3249+4769+4925+4199.5+5525+366+924+414+2215+2444+33+1987+838+1440+537+604+3792+2376+1780+3800+2376+310.7+381.86+2376</f>
        <v>110651.06</v>
      </c>
      <c r="M55" s="169">
        <f>4495+1934+744+517+1003+1215+722+968+65+193+83+369+384+5+336+159+238+83+151+948+594+445+950+594+72+92+594</f>
        <v>17953</v>
      </c>
      <c r="N55" s="210">
        <f>L55/M55</f>
        <v>6.163374366401158</v>
      </c>
      <c r="O55" s="268">
        <v>1</v>
      </c>
      <c r="P55" s="218"/>
    </row>
    <row r="56" spans="1:16" s="4" customFormat="1" ht="14.25" customHeight="1">
      <c r="A56" s="91">
        <v>52</v>
      </c>
      <c r="B56" s="211" t="s">
        <v>37</v>
      </c>
      <c r="C56" s="161">
        <v>40480</v>
      </c>
      <c r="D56" s="245" t="s">
        <v>27</v>
      </c>
      <c r="E56" s="231">
        <v>21</v>
      </c>
      <c r="F56" s="231">
        <v>2</v>
      </c>
      <c r="G56" s="231">
        <v>17</v>
      </c>
      <c r="H56" s="194">
        <v>2367</v>
      </c>
      <c r="I56" s="180">
        <v>314</v>
      </c>
      <c r="J56" s="168">
        <f>+I56/F56</f>
        <v>157</v>
      </c>
      <c r="K56" s="195">
        <f>+H56/I56</f>
        <v>7.538216560509555</v>
      </c>
      <c r="L56" s="196">
        <v>306226</v>
      </c>
      <c r="M56" s="167">
        <v>28236</v>
      </c>
      <c r="N56" s="212">
        <f>+L56/M56</f>
        <v>10.84523303584077</v>
      </c>
      <c r="O56" s="268"/>
      <c r="P56" s="218"/>
    </row>
    <row r="57" spans="1:16" s="4" customFormat="1" ht="14.25" customHeight="1">
      <c r="A57" s="90">
        <v>53</v>
      </c>
      <c r="B57" s="205" t="s">
        <v>273</v>
      </c>
      <c r="C57" s="164">
        <v>40557</v>
      </c>
      <c r="D57" s="242" t="s">
        <v>118</v>
      </c>
      <c r="E57" s="241">
        <v>50</v>
      </c>
      <c r="F57" s="241">
        <v>2</v>
      </c>
      <c r="G57" s="241">
        <v>11</v>
      </c>
      <c r="H57" s="191">
        <v>1706</v>
      </c>
      <c r="I57" s="177">
        <v>244</v>
      </c>
      <c r="J57" s="170">
        <f>(I57/F57)</f>
        <v>122</v>
      </c>
      <c r="K57" s="192">
        <f>H57/I57</f>
        <v>6.991803278688525</v>
      </c>
      <c r="L57" s="193">
        <f>462199.75+464711.5+220315+61757.25+29707.5+19286.5+8649+8790+1188+2323+1706</f>
        <v>1280633.5</v>
      </c>
      <c r="M57" s="169">
        <f>36851+37511+17353+5020+3902+3186+1212+1112+297+256+244</f>
        <v>106944</v>
      </c>
      <c r="N57" s="210">
        <f>L57/M57</f>
        <v>11.974804570616397</v>
      </c>
      <c r="O57" s="268"/>
      <c r="P57" s="218"/>
    </row>
    <row r="58" spans="1:16" s="4" customFormat="1" ht="14.25" customHeight="1">
      <c r="A58" s="90">
        <v>54</v>
      </c>
      <c r="B58" s="205" t="s">
        <v>19</v>
      </c>
      <c r="C58" s="164">
        <v>40515</v>
      </c>
      <c r="D58" s="242" t="s">
        <v>118</v>
      </c>
      <c r="E58" s="241">
        <v>62</v>
      </c>
      <c r="F58" s="241">
        <v>3</v>
      </c>
      <c r="G58" s="241">
        <v>20</v>
      </c>
      <c r="H58" s="191">
        <v>1597</v>
      </c>
      <c r="I58" s="177">
        <v>306</v>
      </c>
      <c r="J58" s="170">
        <f>(I58/F58)</f>
        <v>102</v>
      </c>
      <c r="K58" s="192">
        <f>H58/I58</f>
        <v>5.218954248366013</v>
      </c>
      <c r="L58" s="193">
        <f>353151+191248+132731.5+71376+47862+26248.5+19265+34650.5+35095.5+42312+25849+10987+7528+3248+2395.5+3280.5+3141.5+4280+3042+1597</f>
        <v>1019288.5</v>
      </c>
      <c r="M58" s="169">
        <f>34650+19352+14525+10591+7581+5012+3223+6065+6865+6589+3930+1782+1091+624+468+512+688+987+804+306</f>
        <v>125645</v>
      </c>
      <c r="N58" s="210">
        <f>L58/M58</f>
        <v>8.112447769509332</v>
      </c>
      <c r="O58" s="268"/>
      <c r="P58" s="218"/>
    </row>
    <row r="59" spans="1:16" s="4" customFormat="1" ht="14.25" customHeight="1">
      <c r="A59" s="90">
        <v>55</v>
      </c>
      <c r="B59" s="211" t="s">
        <v>116</v>
      </c>
      <c r="C59" s="161">
        <v>40557</v>
      </c>
      <c r="D59" s="245" t="s">
        <v>27</v>
      </c>
      <c r="E59" s="231">
        <v>66</v>
      </c>
      <c r="F59" s="231">
        <v>1</v>
      </c>
      <c r="G59" s="231">
        <v>11</v>
      </c>
      <c r="H59" s="194">
        <v>1530</v>
      </c>
      <c r="I59" s="180">
        <v>181</v>
      </c>
      <c r="J59" s="168">
        <f>+I59/F59</f>
        <v>181</v>
      </c>
      <c r="K59" s="195">
        <f>+H59/I59</f>
        <v>8.453038674033149</v>
      </c>
      <c r="L59" s="196">
        <v>2596809</v>
      </c>
      <c r="M59" s="167">
        <v>251174</v>
      </c>
      <c r="N59" s="212">
        <f>+L59/M59</f>
        <v>10.33868553273826</v>
      </c>
      <c r="O59" s="268"/>
      <c r="P59" s="218"/>
    </row>
    <row r="60" spans="1:16" s="4" customFormat="1" ht="14.25" customHeight="1">
      <c r="A60" s="90">
        <v>56</v>
      </c>
      <c r="B60" s="383" t="s">
        <v>9</v>
      </c>
      <c r="C60" s="175">
        <v>40438</v>
      </c>
      <c r="D60" s="242" t="s">
        <v>118</v>
      </c>
      <c r="E60" s="247">
        <v>19</v>
      </c>
      <c r="F60" s="247">
        <v>1</v>
      </c>
      <c r="G60" s="247">
        <v>14</v>
      </c>
      <c r="H60" s="191">
        <v>1425.5</v>
      </c>
      <c r="I60" s="177">
        <v>356</v>
      </c>
      <c r="J60" s="170">
        <f>(I60/F60)</f>
        <v>356</v>
      </c>
      <c r="K60" s="192">
        <f>H60/I60</f>
        <v>4.004213483146067</v>
      </c>
      <c r="L60" s="193">
        <f>56752.5+38871+22868.5+4839+2786+2829.5+8012+670+1368+140+42+628+1188+1425.5</f>
        <v>142420</v>
      </c>
      <c r="M60" s="169">
        <f>4639+3072+2103+531+316+368+936+83+203+20+6+98+297+356</f>
        <v>13028</v>
      </c>
      <c r="N60" s="210">
        <f>L60/M60</f>
        <v>10.931839115750691</v>
      </c>
      <c r="O60" s="268"/>
      <c r="P60" s="218"/>
    </row>
    <row r="61" spans="1:16" s="4" customFormat="1" ht="14.25" customHeight="1">
      <c r="A61" s="91">
        <v>57</v>
      </c>
      <c r="B61" s="207" t="s">
        <v>10</v>
      </c>
      <c r="C61" s="161">
        <v>40459</v>
      </c>
      <c r="D61" s="244" t="s">
        <v>24</v>
      </c>
      <c r="E61" s="243">
        <v>55</v>
      </c>
      <c r="F61" s="243">
        <v>2</v>
      </c>
      <c r="G61" s="243">
        <v>17</v>
      </c>
      <c r="H61" s="188">
        <v>1379</v>
      </c>
      <c r="I61" s="176">
        <v>340</v>
      </c>
      <c r="J61" s="163">
        <f>I61/F61</f>
        <v>170</v>
      </c>
      <c r="K61" s="189">
        <f>H61/I61</f>
        <v>4.055882352941176</v>
      </c>
      <c r="L61" s="190">
        <v>2715672</v>
      </c>
      <c r="M61" s="162">
        <v>237405</v>
      </c>
      <c r="N61" s="208">
        <f>+L61/M61</f>
        <v>11.438984014658494</v>
      </c>
      <c r="O61" s="268"/>
      <c r="P61" s="218"/>
    </row>
    <row r="62" spans="1:16" s="4" customFormat="1" ht="14.25" customHeight="1">
      <c r="A62" s="91">
        <v>58</v>
      </c>
      <c r="B62" s="205" t="s">
        <v>62</v>
      </c>
      <c r="C62" s="164">
        <v>40466</v>
      </c>
      <c r="D62" s="242" t="s">
        <v>26</v>
      </c>
      <c r="E62" s="241">
        <v>22</v>
      </c>
      <c r="F62" s="241">
        <v>3</v>
      </c>
      <c r="G62" s="241">
        <v>15</v>
      </c>
      <c r="H62" s="186">
        <v>1358</v>
      </c>
      <c r="I62" s="178">
        <v>127</v>
      </c>
      <c r="J62" s="165">
        <f>I62/F62</f>
        <v>42.333333333333336</v>
      </c>
      <c r="K62" s="200">
        <f>H62/I62</f>
        <v>10.692913385826772</v>
      </c>
      <c r="L62" s="187">
        <f>75899.5+52129.5+37227.5+14454+10905+6815+10220.5+4115+4193+1577.5+113+940+2002+820.5+11882+1358</f>
        <v>234652</v>
      </c>
      <c r="M62" s="165">
        <f>7028+5164+3832+1471+1190+1095+1727+519+460+216+17+109+232+274+1318+127</f>
        <v>24779</v>
      </c>
      <c r="N62" s="206">
        <f>L62/M62</f>
        <v>9.469792969853504</v>
      </c>
      <c r="O62" s="268">
        <v>1</v>
      </c>
      <c r="P62" s="218"/>
    </row>
    <row r="63" spans="1:16" s="4" customFormat="1" ht="14.25" customHeight="1">
      <c r="A63" s="90">
        <v>59</v>
      </c>
      <c r="B63" s="205" t="s">
        <v>175</v>
      </c>
      <c r="C63" s="164">
        <v>40905</v>
      </c>
      <c r="D63" s="290" t="s">
        <v>23</v>
      </c>
      <c r="E63" s="241">
        <v>200</v>
      </c>
      <c r="F63" s="241">
        <v>1</v>
      </c>
      <c r="G63" s="241">
        <v>12</v>
      </c>
      <c r="H63" s="186">
        <v>1354</v>
      </c>
      <c r="I63" s="178">
        <v>218</v>
      </c>
      <c r="J63" s="165">
        <f>I63/F63</f>
        <v>218</v>
      </c>
      <c r="K63" s="200">
        <f>+H63/I63</f>
        <v>6.2110091743119265</v>
      </c>
      <c r="L63" s="187">
        <v>2981369</v>
      </c>
      <c r="M63" s="165">
        <v>243539</v>
      </c>
      <c r="N63" s="206">
        <f>+L63/M63</f>
        <v>12.241854487371633</v>
      </c>
      <c r="O63" s="296"/>
      <c r="P63" s="218"/>
    </row>
    <row r="64" spans="1:16" s="4" customFormat="1" ht="14.25" customHeight="1">
      <c r="A64" s="90">
        <v>60</v>
      </c>
      <c r="B64" s="205" t="s">
        <v>173</v>
      </c>
      <c r="C64" s="164">
        <v>40599</v>
      </c>
      <c r="D64" s="290" t="s">
        <v>23</v>
      </c>
      <c r="E64" s="241">
        <v>30</v>
      </c>
      <c r="F64" s="241">
        <v>2</v>
      </c>
      <c r="G64" s="241">
        <v>8</v>
      </c>
      <c r="H64" s="186">
        <v>1278</v>
      </c>
      <c r="I64" s="178">
        <v>210</v>
      </c>
      <c r="J64" s="165">
        <f>I64/F64</f>
        <v>105</v>
      </c>
      <c r="K64" s="200">
        <f>+H64/I64</f>
        <v>6.085714285714285</v>
      </c>
      <c r="L64" s="187">
        <v>269624</v>
      </c>
      <c r="M64" s="165">
        <v>21949</v>
      </c>
      <c r="N64" s="206">
        <f>+L64/M64</f>
        <v>12.28411317144289</v>
      </c>
      <c r="O64" s="296"/>
      <c r="P64" s="218"/>
    </row>
    <row r="65" spans="1:16" s="4" customFormat="1" ht="14.25" customHeight="1">
      <c r="A65" s="90">
        <v>61</v>
      </c>
      <c r="B65" s="205" t="s">
        <v>117</v>
      </c>
      <c r="C65" s="164">
        <v>40557</v>
      </c>
      <c r="D65" s="290" t="s">
        <v>23</v>
      </c>
      <c r="E65" s="241">
        <v>129</v>
      </c>
      <c r="F65" s="241">
        <v>1</v>
      </c>
      <c r="G65" s="241">
        <v>14</v>
      </c>
      <c r="H65" s="186">
        <v>1105</v>
      </c>
      <c r="I65" s="178">
        <v>213</v>
      </c>
      <c r="J65" s="165">
        <f>I65/F65</f>
        <v>213</v>
      </c>
      <c r="K65" s="200">
        <f>+H65/I65</f>
        <v>5.187793427230047</v>
      </c>
      <c r="L65" s="187">
        <v>1375318</v>
      </c>
      <c r="M65" s="165">
        <v>121559</v>
      </c>
      <c r="N65" s="206">
        <f>+L65/M65</f>
        <v>11.313995672883127</v>
      </c>
      <c r="O65" s="296"/>
      <c r="P65" s="218"/>
    </row>
    <row r="66" spans="1:16" s="4" customFormat="1" ht="14.25" customHeight="1">
      <c r="A66" s="90">
        <v>62</v>
      </c>
      <c r="B66" s="455" t="s">
        <v>243</v>
      </c>
      <c r="C66" s="432">
        <v>40634</v>
      </c>
      <c r="D66" s="431" t="s">
        <v>228</v>
      </c>
      <c r="E66" s="433">
        <v>10</v>
      </c>
      <c r="F66" s="433">
        <v>7</v>
      </c>
      <c r="G66" s="433">
        <v>3</v>
      </c>
      <c r="H66" s="436">
        <v>823</v>
      </c>
      <c r="I66" s="437">
        <v>823</v>
      </c>
      <c r="J66" s="168">
        <f>+I66/F66</f>
        <v>117.57142857142857</v>
      </c>
      <c r="K66" s="195">
        <f>+H66/I66</f>
        <v>1</v>
      </c>
      <c r="L66" s="438">
        <v>34018</v>
      </c>
      <c r="M66" s="439">
        <v>5548</v>
      </c>
      <c r="N66" s="208">
        <v>5.733007733007733</v>
      </c>
      <c r="O66" s="268">
        <v>1</v>
      </c>
      <c r="P66" s="218"/>
    </row>
    <row r="67" spans="1:16" s="4" customFormat="1" ht="14.25" customHeight="1">
      <c r="A67" s="91">
        <v>63</v>
      </c>
      <c r="B67" s="207" t="s">
        <v>89</v>
      </c>
      <c r="C67" s="161">
        <v>40543</v>
      </c>
      <c r="D67" s="244" t="s">
        <v>17</v>
      </c>
      <c r="E67" s="243">
        <v>20</v>
      </c>
      <c r="F67" s="243">
        <v>4</v>
      </c>
      <c r="G67" s="243">
        <v>10</v>
      </c>
      <c r="H67" s="197">
        <v>715</v>
      </c>
      <c r="I67" s="181">
        <v>108</v>
      </c>
      <c r="J67" s="168">
        <f>IF(H67&lt;&gt;0,I67/F67,"")</f>
        <v>27</v>
      </c>
      <c r="K67" s="195">
        <f>IF(H67&lt;&gt;0,H67/I67,"")</f>
        <v>6.62037037037037</v>
      </c>
      <c r="L67" s="198">
        <f>66843.5+17122+2473.5+3354+459+3105+2586+96+1107+H67</f>
        <v>97861</v>
      </c>
      <c r="M67" s="165">
        <f>6779+1684+271+528+66+413+401+16+171+I67</f>
        <v>10437</v>
      </c>
      <c r="N67" s="212">
        <f>IF(L67&lt;&gt;0,L67/M67,"")</f>
        <v>9.376353358244707</v>
      </c>
      <c r="O67" s="268"/>
      <c r="P67" s="218"/>
    </row>
    <row r="68" spans="1:16" s="4" customFormat="1" ht="14.25" customHeight="1">
      <c r="A68" s="91">
        <v>64</v>
      </c>
      <c r="B68" s="547" t="s">
        <v>85</v>
      </c>
      <c r="C68" s="161">
        <v>40543</v>
      </c>
      <c r="D68" s="245" t="s">
        <v>104</v>
      </c>
      <c r="E68" s="532" t="s">
        <v>74</v>
      </c>
      <c r="F68" s="532" t="s">
        <v>237</v>
      </c>
      <c r="G68" s="532" t="s">
        <v>274</v>
      </c>
      <c r="H68" s="194">
        <v>714</v>
      </c>
      <c r="I68" s="180">
        <v>102</v>
      </c>
      <c r="J68" s="255">
        <v>102</v>
      </c>
      <c r="K68" s="259">
        <v>7</v>
      </c>
      <c r="L68" s="196">
        <v>237694</v>
      </c>
      <c r="M68" s="167">
        <v>19766</v>
      </c>
      <c r="N68" s="212">
        <f>+L68/M68</f>
        <v>12.0253971466154</v>
      </c>
      <c r="O68" s="268"/>
      <c r="P68" s="218"/>
    </row>
    <row r="69" spans="1:16" s="4" customFormat="1" ht="14.25" customHeight="1">
      <c r="A69" s="90">
        <v>65</v>
      </c>
      <c r="B69" s="213" t="s">
        <v>193</v>
      </c>
      <c r="C69" s="164">
        <v>40606</v>
      </c>
      <c r="D69" s="242" t="s">
        <v>118</v>
      </c>
      <c r="E69" s="241">
        <v>3</v>
      </c>
      <c r="F69" s="241">
        <v>2</v>
      </c>
      <c r="G69" s="241">
        <v>5</v>
      </c>
      <c r="H69" s="191">
        <v>677</v>
      </c>
      <c r="I69" s="177">
        <v>92</v>
      </c>
      <c r="J69" s="170">
        <f>(I69/F69)</f>
        <v>46</v>
      </c>
      <c r="K69" s="192">
        <f>H69/I69</f>
        <v>7.358695652173913</v>
      </c>
      <c r="L69" s="193">
        <f>3944+1062+155+222+677</f>
        <v>6060</v>
      </c>
      <c r="M69" s="169">
        <f>424+116+24+26+92</f>
        <v>682</v>
      </c>
      <c r="N69" s="210">
        <f>L69/M69</f>
        <v>8.885630498533724</v>
      </c>
      <c r="O69" s="268"/>
      <c r="P69" s="218"/>
    </row>
    <row r="70" spans="1:16" s="4" customFormat="1" ht="14.25" customHeight="1">
      <c r="A70" s="90">
        <v>66</v>
      </c>
      <c r="B70" s="205" t="s">
        <v>244</v>
      </c>
      <c r="C70" s="164">
        <v>40606</v>
      </c>
      <c r="D70" s="290" t="s">
        <v>23</v>
      </c>
      <c r="E70" s="241">
        <v>93</v>
      </c>
      <c r="F70" s="241">
        <v>1</v>
      </c>
      <c r="G70" s="241">
        <v>7</v>
      </c>
      <c r="H70" s="186">
        <v>667</v>
      </c>
      <c r="I70" s="178">
        <v>131</v>
      </c>
      <c r="J70" s="165">
        <f>I70/F70</f>
        <v>131</v>
      </c>
      <c r="K70" s="200">
        <f>+H70/I70</f>
        <v>5.091603053435114</v>
      </c>
      <c r="L70" s="187">
        <v>1213734</v>
      </c>
      <c r="M70" s="165">
        <v>107252</v>
      </c>
      <c r="N70" s="206">
        <f>+L70/M70</f>
        <v>11.316656099653153</v>
      </c>
      <c r="O70" s="296"/>
      <c r="P70" s="218"/>
    </row>
    <row r="71" spans="1:16" s="4" customFormat="1" ht="14.25" customHeight="1">
      <c r="A71" s="90">
        <v>67</v>
      </c>
      <c r="B71" s="213" t="s">
        <v>234</v>
      </c>
      <c r="C71" s="164">
        <v>40634</v>
      </c>
      <c r="D71" s="242" t="s">
        <v>118</v>
      </c>
      <c r="E71" s="241">
        <v>15</v>
      </c>
      <c r="F71" s="241">
        <v>3</v>
      </c>
      <c r="G71" s="241">
        <v>3</v>
      </c>
      <c r="H71" s="191">
        <v>642</v>
      </c>
      <c r="I71" s="177">
        <v>80</v>
      </c>
      <c r="J71" s="170">
        <f>(I71/F71)</f>
        <v>26.666666666666668</v>
      </c>
      <c r="K71" s="192">
        <f>H71/I71</f>
        <v>8.025</v>
      </c>
      <c r="L71" s="193">
        <f>24849+8396+642</f>
        <v>33887</v>
      </c>
      <c r="M71" s="169">
        <f>1900+772+80</f>
        <v>2752</v>
      </c>
      <c r="N71" s="210">
        <f>L71/M71</f>
        <v>12.31359011627907</v>
      </c>
      <c r="O71" s="268"/>
      <c r="P71" s="218"/>
    </row>
    <row r="72" spans="1:16" s="4" customFormat="1" ht="14.25" customHeight="1">
      <c r="A72" s="90">
        <v>68</v>
      </c>
      <c r="B72" s="213" t="s">
        <v>2</v>
      </c>
      <c r="C72" s="164">
        <v>40522</v>
      </c>
      <c r="D72" s="242" t="s">
        <v>118</v>
      </c>
      <c r="E72" s="241">
        <v>127</v>
      </c>
      <c r="F72" s="241">
        <v>1</v>
      </c>
      <c r="G72" s="241">
        <v>18</v>
      </c>
      <c r="H72" s="191">
        <v>550</v>
      </c>
      <c r="I72" s="177">
        <v>104</v>
      </c>
      <c r="J72" s="170">
        <f>(I72/F72)</f>
        <v>104</v>
      </c>
      <c r="K72" s="192">
        <f>H72/I72</f>
        <v>5.288461538461538</v>
      </c>
      <c r="L72" s="193">
        <f>1048675+809166.5+457718.5+70165.5+7102+12164+8619.5+11777.5+6559.5+3338.5+10420.5+3303+3205+2076+1722.5+314+264+550</f>
        <v>2457141.5</v>
      </c>
      <c r="M72" s="169">
        <f>92481+73795+43350+8841+1153+2869+1615+2831+1620+630+2477+726+513+481+318+38+33+104</f>
        <v>233875</v>
      </c>
      <c r="N72" s="210">
        <f>L72/M72</f>
        <v>10.506216996258685</v>
      </c>
      <c r="O72" s="268"/>
      <c r="P72" s="218"/>
    </row>
    <row r="73" spans="1:16" s="4" customFormat="1" ht="14.25" customHeight="1">
      <c r="A73" s="91">
        <v>69</v>
      </c>
      <c r="B73" s="213" t="s">
        <v>190</v>
      </c>
      <c r="C73" s="164">
        <v>40606</v>
      </c>
      <c r="D73" s="242" t="s">
        <v>118</v>
      </c>
      <c r="E73" s="241">
        <v>6</v>
      </c>
      <c r="F73" s="241">
        <v>2</v>
      </c>
      <c r="G73" s="241">
        <v>6</v>
      </c>
      <c r="H73" s="191">
        <v>506</v>
      </c>
      <c r="I73" s="177">
        <v>52</v>
      </c>
      <c r="J73" s="170">
        <f>(I73/F73)</f>
        <v>26</v>
      </c>
      <c r="K73" s="192">
        <f>H73/I73</f>
        <v>9.73076923076923</v>
      </c>
      <c r="L73" s="193">
        <f>23509.5+4775.5+1638+419+8818.5+506</f>
        <v>39666.5</v>
      </c>
      <c r="M73" s="169">
        <f>1642+339+312+83+823+52</f>
        <v>3251</v>
      </c>
      <c r="N73" s="210">
        <f>L73/M73</f>
        <v>12.201322669947709</v>
      </c>
      <c r="O73" s="268"/>
      <c r="P73" s="218"/>
    </row>
    <row r="74" spans="1:16" s="4" customFormat="1" ht="14.25" customHeight="1">
      <c r="A74" s="91">
        <v>70</v>
      </c>
      <c r="B74" s="205" t="s">
        <v>246</v>
      </c>
      <c r="C74" s="164">
        <v>40641</v>
      </c>
      <c r="D74" s="242" t="s">
        <v>169</v>
      </c>
      <c r="E74" s="241">
        <v>2</v>
      </c>
      <c r="F74" s="241">
        <v>1</v>
      </c>
      <c r="G74" s="241">
        <v>2</v>
      </c>
      <c r="H74" s="186">
        <v>426</v>
      </c>
      <c r="I74" s="178">
        <v>28</v>
      </c>
      <c r="J74" s="165">
        <f>I74/F74</f>
        <v>28</v>
      </c>
      <c r="K74" s="200">
        <f>H74/I74</f>
        <v>15.214285714285714</v>
      </c>
      <c r="L74" s="187">
        <v>2117</v>
      </c>
      <c r="M74" s="165">
        <v>141</v>
      </c>
      <c r="N74" s="206">
        <f>L74/M74</f>
        <v>15.01418439716312</v>
      </c>
      <c r="O74" s="268"/>
      <c r="P74" s="218"/>
    </row>
    <row r="75" spans="1:16" s="4" customFormat="1" ht="14.25" customHeight="1">
      <c r="A75" s="90">
        <v>71</v>
      </c>
      <c r="B75" s="205" t="s">
        <v>238</v>
      </c>
      <c r="C75" s="164">
        <v>40172</v>
      </c>
      <c r="D75" s="242" t="s">
        <v>118</v>
      </c>
      <c r="E75" s="241">
        <v>60</v>
      </c>
      <c r="F75" s="241">
        <v>1</v>
      </c>
      <c r="G75" s="241">
        <v>37</v>
      </c>
      <c r="H75" s="191">
        <v>70</v>
      </c>
      <c r="I75" s="177">
        <v>7</v>
      </c>
      <c r="J75" s="170">
        <f>(I75/F75)</f>
        <v>7</v>
      </c>
      <c r="K75" s="192">
        <f>H75/I75</f>
        <v>10</v>
      </c>
      <c r="L75" s="193">
        <f>421775.5+397095.5+287050+215248.5+189819.5+180729.5+86816.5+23840+19148+14942.5+8798.5+9599+13618.5+4298+4028+3310+8547+6712.5+1803+1172+973+2291+380.5+3015+1103.5+65+2061.5+1262+1020+2232+2970+5074+2970+1188+250+200+70</f>
        <v>1925477.5</v>
      </c>
      <c r="M75" s="169">
        <f>43739+40732+31780+27356+25902+24895+12153+4496+3179+3069+1650+2236+3335+954+829+540+1945+1297+429+261+173+594+53+613+200+10+480+240+102+533+743+1267+742+297+28+20+7</f>
        <v>236879</v>
      </c>
      <c r="N75" s="210">
        <f>L75/M75</f>
        <v>8.128527644915758</v>
      </c>
      <c r="O75" s="268"/>
      <c r="P75" s="218"/>
    </row>
    <row r="76" spans="1:16" s="4" customFormat="1" ht="14.25" customHeight="1" thickBot="1">
      <c r="A76" s="90">
        <v>72</v>
      </c>
      <c r="B76" s="550" t="s">
        <v>196</v>
      </c>
      <c r="C76" s="551">
        <v>40613</v>
      </c>
      <c r="D76" s="552" t="s">
        <v>17</v>
      </c>
      <c r="E76" s="553">
        <v>89</v>
      </c>
      <c r="F76" s="553">
        <v>1</v>
      </c>
      <c r="G76" s="553">
        <v>6</v>
      </c>
      <c r="H76" s="554">
        <v>46</v>
      </c>
      <c r="I76" s="555">
        <v>5</v>
      </c>
      <c r="J76" s="556">
        <f>IF(H76&lt;&gt;0,I76/F76,"")</f>
        <v>5</v>
      </c>
      <c r="K76" s="557">
        <f>IF(H76&lt;&gt;0,H76/I76,"")</f>
        <v>9.2</v>
      </c>
      <c r="L76" s="558">
        <f>621196.5+432703+128317.5+127575.5+6914.5+H76</f>
        <v>1316753</v>
      </c>
      <c r="M76" s="559">
        <f>55015+39897+12333+11559+853+J76</f>
        <v>119662</v>
      </c>
      <c r="N76" s="560">
        <f>IF(L76&lt;&gt;0,L76/M76,"")</f>
        <v>11.003936086644048</v>
      </c>
      <c r="O76" s="268"/>
      <c r="P76" s="218"/>
    </row>
    <row r="77" spans="1:16" s="4" customFormat="1" ht="15">
      <c r="A77" s="609"/>
      <c r="B77" s="610"/>
      <c r="C77" s="6"/>
      <c r="D77" s="7"/>
      <c r="E77" s="20"/>
      <c r="F77" s="21"/>
      <c r="G77" s="20"/>
      <c r="H77" s="8"/>
      <c r="I77" s="9"/>
      <c r="J77" s="12"/>
      <c r="K77" s="13"/>
      <c r="L77" s="14"/>
      <c r="M77" s="15"/>
      <c r="N77" s="59"/>
      <c r="O77" s="64"/>
      <c r="P77" s="64"/>
    </row>
    <row r="78" spans="1:16" s="4" customFormat="1" ht="13.5">
      <c r="A78" s="74"/>
      <c r="B78" s="23"/>
      <c r="C78" s="24"/>
      <c r="D78" s="25"/>
      <c r="E78" s="26"/>
      <c r="F78" s="26"/>
      <c r="G78" s="26"/>
      <c r="H78" s="27"/>
      <c r="I78" s="28"/>
      <c r="J78" s="29"/>
      <c r="K78" s="30"/>
      <c r="L78" s="31"/>
      <c r="M78" s="32"/>
      <c r="N78" s="30"/>
      <c r="O78" s="64"/>
      <c r="P78" s="64"/>
    </row>
    <row r="79" spans="1:52" s="116" customFormat="1" ht="21.75" customHeight="1">
      <c r="A79" s="606" t="s">
        <v>56</v>
      </c>
      <c r="B79" s="607"/>
      <c r="C79" s="607"/>
      <c r="D79" s="607"/>
      <c r="E79" s="607"/>
      <c r="F79" s="607"/>
      <c r="G79" s="607"/>
      <c r="H79" s="607"/>
      <c r="I79" s="607"/>
      <c r="J79" s="607"/>
      <c r="K79" s="607"/>
      <c r="L79" s="607"/>
      <c r="M79" s="607"/>
      <c r="N79" s="607"/>
      <c r="O79" s="148"/>
      <c r="P79" s="216"/>
      <c r="Q79" s="121"/>
      <c r="R79" s="121"/>
      <c r="S79" s="121"/>
      <c r="T79" s="121"/>
      <c r="U79" s="121"/>
      <c r="V79" s="121"/>
      <c r="W79" s="139"/>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36"/>
    </row>
    <row r="80" spans="1:256" s="116" customFormat="1" ht="18" customHeight="1">
      <c r="A80" s="606" t="s">
        <v>28</v>
      </c>
      <c r="B80" s="607"/>
      <c r="C80" s="607"/>
      <c r="D80" s="607"/>
      <c r="E80" s="607"/>
      <c r="F80" s="607"/>
      <c r="G80" s="607"/>
      <c r="H80" s="607"/>
      <c r="I80" s="607"/>
      <c r="J80" s="607"/>
      <c r="K80" s="607"/>
      <c r="L80" s="607"/>
      <c r="M80" s="607"/>
      <c r="N80" s="607"/>
      <c r="O80" s="148"/>
      <c r="P80" s="216"/>
      <c r="Q80" s="121"/>
      <c r="R80" s="121"/>
      <c r="S80" s="121"/>
      <c r="T80" s="121"/>
      <c r="U80" s="121"/>
      <c r="V80" s="121"/>
      <c r="W80" s="141"/>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1"/>
      <c r="AT80" s="142"/>
      <c r="AU80" s="142"/>
      <c r="AV80" s="142"/>
      <c r="AW80" s="142"/>
      <c r="AX80" s="142"/>
      <c r="AY80" s="142"/>
      <c r="AZ80" s="137"/>
      <c r="BA80" s="118"/>
      <c r="BB80" s="118"/>
      <c r="BC80" s="118"/>
      <c r="BD80" s="118"/>
      <c r="BE80" s="118"/>
      <c r="BF80" s="118"/>
      <c r="BG80" s="118"/>
      <c r="BH80" s="118"/>
      <c r="BI80" s="118"/>
      <c r="BJ80" s="118"/>
      <c r="BK80" s="118"/>
      <c r="BL80" s="118"/>
      <c r="BM80" s="118"/>
      <c r="BN80" s="118"/>
      <c r="BO80" s="117"/>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7"/>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7"/>
      <c r="DH80" s="118"/>
      <c r="DI80" s="118"/>
      <c r="DJ80" s="118"/>
      <c r="DK80" s="118"/>
      <c r="DL80" s="118"/>
      <c r="DM80" s="118"/>
      <c r="DN80" s="118"/>
      <c r="DO80" s="118"/>
      <c r="DP80" s="118"/>
      <c r="DQ80" s="118"/>
      <c r="DR80" s="118"/>
      <c r="DS80" s="118"/>
      <c r="DT80" s="118"/>
      <c r="DU80" s="118"/>
      <c r="DV80" s="118"/>
      <c r="DW80" s="118"/>
      <c r="DX80" s="118"/>
      <c r="DY80" s="118"/>
      <c r="DZ80" s="118"/>
      <c r="EA80" s="118"/>
      <c r="EB80" s="118"/>
      <c r="EC80" s="117"/>
      <c r="ED80" s="118"/>
      <c r="EE80" s="118"/>
      <c r="EF80" s="118"/>
      <c r="EG80" s="118"/>
      <c r="EH80" s="118"/>
      <c r="EI80" s="118"/>
      <c r="EJ80" s="118"/>
      <c r="EK80" s="118"/>
      <c r="EL80" s="118"/>
      <c r="EM80" s="118"/>
      <c r="EN80" s="118"/>
      <c r="EO80" s="118"/>
      <c r="EP80" s="118"/>
      <c r="EQ80" s="118"/>
      <c r="ER80" s="118"/>
      <c r="ES80" s="118"/>
      <c r="ET80" s="118"/>
      <c r="EU80" s="118"/>
      <c r="EV80" s="118"/>
      <c r="EW80" s="118"/>
      <c r="EX80" s="118"/>
      <c r="EY80" s="117"/>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7"/>
      <c r="FV80" s="118"/>
      <c r="FW80" s="118"/>
      <c r="FX80" s="118"/>
      <c r="FY80" s="118"/>
      <c r="FZ80" s="118"/>
      <c r="GA80" s="118"/>
      <c r="GB80" s="118"/>
      <c r="GC80" s="118"/>
      <c r="GD80" s="118"/>
      <c r="GE80" s="118"/>
      <c r="GF80" s="118"/>
      <c r="GG80" s="118"/>
      <c r="GH80" s="118"/>
      <c r="GI80" s="118"/>
      <c r="GJ80" s="118"/>
      <c r="GK80" s="118"/>
      <c r="GL80" s="118"/>
      <c r="GM80" s="118"/>
      <c r="GN80" s="118"/>
      <c r="GO80" s="118"/>
      <c r="GP80" s="118"/>
      <c r="GQ80" s="117"/>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7"/>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7"/>
      <c r="IJ80" s="118"/>
      <c r="IK80" s="118"/>
      <c r="IL80" s="118"/>
      <c r="IM80" s="118"/>
      <c r="IN80" s="118"/>
      <c r="IO80" s="118"/>
      <c r="IP80" s="118"/>
      <c r="IQ80" s="118"/>
      <c r="IR80" s="118"/>
      <c r="IS80" s="118"/>
      <c r="IT80" s="118"/>
      <c r="IU80" s="118"/>
      <c r="IV80" s="118"/>
    </row>
    <row r="81" spans="1:256" s="116" customFormat="1" ht="18" customHeight="1">
      <c r="A81" s="607"/>
      <c r="B81" s="607"/>
      <c r="C81" s="607"/>
      <c r="D81" s="607"/>
      <c r="E81" s="607"/>
      <c r="F81" s="607"/>
      <c r="G81" s="607"/>
      <c r="H81" s="607"/>
      <c r="I81" s="607"/>
      <c r="J81" s="607"/>
      <c r="K81" s="607"/>
      <c r="L81" s="607"/>
      <c r="M81" s="607"/>
      <c r="N81" s="607"/>
      <c r="O81" s="148"/>
      <c r="P81" s="216"/>
      <c r="Q81" s="121"/>
      <c r="R81" s="121"/>
      <c r="S81" s="121"/>
      <c r="T81" s="121"/>
      <c r="U81" s="121"/>
      <c r="V81" s="121"/>
      <c r="W81" s="141"/>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1"/>
      <c r="AT81" s="142"/>
      <c r="AU81" s="142"/>
      <c r="AV81" s="142"/>
      <c r="AW81" s="142"/>
      <c r="AX81" s="142"/>
      <c r="AY81" s="142"/>
      <c r="AZ81" s="137"/>
      <c r="BA81" s="118"/>
      <c r="BB81" s="118"/>
      <c r="BC81" s="118"/>
      <c r="BD81" s="118"/>
      <c r="BE81" s="118"/>
      <c r="BF81" s="118"/>
      <c r="BG81" s="118"/>
      <c r="BH81" s="118"/>
      <c r="BI81" s="118"/>
      <c r="BJ81" s="118"/>
      <c r="BK81" s="118"/>
      <c r="BL81" s="118"/>
      <c r="BM81" s="118"/>
      <c r="BN81" s="118"/>
      <c r="BO81" s="117"/>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7"/>
      <c r="CL81" s="118"/>
      <c r="CM81" s="118"/>
      <c r="CN81" s="118"/>
      <c r="CO81" s="118"/>
      <c r="CP81" s="118"/>
      <c r="CQ81" s="118"/>
      <c r="CR81" s="118"/>
      <c r="CS81" s="118"/>
      <c r="CT81" s="118"/>
      <c r="CU81" s="118"/>
      <c r="CV81" s="118"/>
      <c r="CW81" s="118"/>
      <c r="CX81" s="118"/>
      <c r="CY81" s="118"/>
      <c r="CZ81" s="118"/>
      <c r="DA81" s="118"/>
      <c r="DB81" s="118"/>
      <c r="DC81" s="118"/>
      <c r="DD81" s="118"/>
      <c r="DE81" s="118"/>
      <c r="DF81" s="118"/>
      <c r="DG81" s="117"/>
      <c r="DH81" s="118"/>
      <c r="DI81" s="118"/>
      <c r="DJ81" s="118"/>
      <c r="DK81" s="118"/>
      <c r="DL81" s="118"/>
      <c r="DM81" s="118"/>
      <c r="DN81" s="118"/>
      <c r="DO81" s="118"/>
      <c r="DP81" s="118"/>
      <c r="DQ81" s="118"/>
      <c r="DR81" s="118"/>
      <c r="DS81" s="118"/>
      <c r="DT81" s="118"/>
      <c r="DU81" s="118"/>
      <c r="DV81" s="118"/>
      <c r="DW81" s="118"/>
      <c r="DX81" s="118"/>
      <c r="DY81" s="118"/>
      <c r="DZ81" s="118"/>
      <c r="EA81" s="118"/>
      <c r="EB81" s="118"/>
      <c r="EC81" s="117"/>
      <c r="ED81" s="118"/>
      <c r="EE81" s="118"/>
      <c r="EF81" s="118"/>
      <c r="EG81" s="118"/>
      <c r="EH81" s="118"/>
      <c r="EI81" s="118"/>
      <c r="EJ81" s="118"/>
      <c r="EK81" s="118"/>
      <c r="EL81" s="118"/>
      <c r="EM81" s="118"/>
      <c r="EN81" s="118"/>
      <c r="EO81" s="118"/>
      <c r="EP81" s="118"/>
      <c r="EQ81" s="118"/>
      <c r="ER81" s="118"/>
      <c r="ES81" s="118"/>
      <c r="ET81" s="118"/>
      <c r="EU81" s="118"/>
      <c r="EV81" s="118"/>
      <c r="EW81" s="118"/>
      <c r="EX81" s="118"/>
      <c r="EY81" s="117"/>
      <c r="EZ81" s="118"/>
      <c r="FA81" s="118"/>
      <c r="FB81" s="118"/>
      <c r="FC81" s="118"/>
      <c r="FD81" s="118"/>
      <c r="FE81" s="118"/>
      <c r="FF81" s="118"/>
      <c r="FG81" s="118"/>
      <c r="FH81" s="118"/>
      <c r="FI81" s="118"/>
      <c r="FJ81" s="118"/>
      <c r="FK81" s="118"/>
      <c r="FL81" s="118"/>
      <c r="FM81" s="118"/>
      <c r="FN81" s="118"/>
      <c r="FO81" s="118"/>
      <c r="FP81" s="118"/>
      <c r="FQ81" s="118"/>
      <c r="FR81" s="118"/>
      <c r="FS81" s="118"/>
      <c r="FT81" s="118"/>
      <c r="FU81" s="117"/>
      <c r="FV81" s="118"/>
      <c r="FW81" s="118"/>
      <c r="FX81" s="118"/>
      <c r="FY81" s="118"/>
      <c r="FZ81" s="118"/>
      <c r="GA81" s="118"/>
      <c r="GB81" s="118"/>
      <c r="GC81" s="118"/>
      <c r="GD81" s="118"/>
      <c r="GE81" s="118"/>
      <c r="GF81" s="118"/>
      <c r="GG81" s="118"/>
      <c r="GH81" s="118"/>
      <c r="GI81" s="118"/>
      <c r="GJ81" s="118"/>
      <c r="GK81" s="118"/>
      <c r="GL81" s="118"/>
      <c r="GM81" s="118"/>
      <c r="GN81" s="118"/>
      <c r="GO81" s="118"/>
      <c r="GP81" s="118"/>
      <c r="GQ81" s="117"/>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7"/>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7"/>
      <c r="IJ81" s="118"/>
      <c r="IK81" s="118"/>
      <c r="IL81" s="118"/>
      <c r="IM81" s="118"/>
      <c r="IN81" s="118"/>
      <c r="IO81" s="118"/>
      <c r="IP81" s="118"/>
      <c r="IQ81" s="118"/>
      <c r="IR81" s="118"/>
      <c r="IS81" s="118"/>
      <c r="IT81" s="118"/>
      <c r="IU81" s="118"/>
      <c r="IV81" s="118"/>
    </row>
    <row r="82" spans="1:256" s="116" customFormat="1" ht="18" customHeight="1">
      <c r="A82" s="607"/>
      <c r="B82" s="607"/>
      <c r="C82" s="607"/>
      <c r="D82" s="607"/>
      <c r="E82" s="607"/>
      <c r="F82" s="607"/>
      <c r="G82" s="607"/>
      <c r="H82" s="607"/>
      <c r="I82" s="607"/>
      <c r="J82" s="607"/>
      <c r="K82" s="607"/>
      <c r="L82" s="607"/>
      <c r="M82" s="607"/>
      <c r="N82" s="607"/>
      <c r="O82" s="148"/>
      <c r="P82" s="216"/>
      <c r="Q82" s="121"/>
      <c r="R82" s="121"/>
      <c r="S82" s="121"/>
      <c r="T82" s="121"/>
      <c r="U82" s="121"/>
      <c r="V82" s="121"/>
      <c r="W82" s="141"/>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1"/>
      <c r="AT82" s="142"/>
      <c r="AU82" s="142"/>
      <c r="AV82" s="142"/>
      <c r="AW82" s="142"/>
      <c r="AX82" s="142"/>
      <c r="AY82" s="142"/>
      <c r="AZ82" s="137"/>
      <c r="BA82" s="118"/>
      <c r="BB82" s="118"/>
      <c r="BC82" s="118"/>
      <c r="BD82" s="118"/>
      <c r="BE82" s="118"/>
      <c r="BF82" s="118"/>
      <c r="BG82" s="118"/>
      <c r="BH82" s="118"/>
      <c r="BI82" s="118"/>
      <c r="BJ82" s="118"/>
      <c r="BK82" s="118"/>
      <c r="BL82" s="118"/>
      <c r="BM82" s="118"/>
      <c r="BN82" s="118"/>
      <c r="BO82" s="117"/>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7"/>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7"/>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7"/>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7"/>
      <c r="EZ82" s="118"/>
      <c r="FA82" s="118"/>
      <c r="FB82" s="118"/>
      <c r="FC82" s="118"/>
      <c r="FD82" s="118"/>
      <c r="FE82" s="118"/>
      <c r="FF82" s="118"/>
      <c r="FG82" s="118"/>
      <c r="FH82" s="118"/>
      <c r="FI82" s="118"/>
      <c r="FJ82" s="118"/>
      <c r="FK82" s="118"/>
      <c r="FL82" s="118"/>
      <c r="FM82" s="118"/>
      <c r="FN82" s="118"/>
      <c r="FO82" s="118"/>
      <c r="FP82" s="118"/>
      <c r="FQ82" s="118"/>
      <c r="FR82" s="118"/>
      <c r="FS82" s="118"/>
      <c r="FT82" s="118"/>
      <c r="FU82" s="117"/>
      <c r="FV82" s="118"/>
      <c r="FW82" s="118"/>
      <c r="FX82" s="118"/>
      <c r="FY82" s="118"/>
      <c r="FZ82" s="118"/>
      <c r="GA82" s="118"/>
      <c r="GB82" s="118"/>
      <c r="GC82" s="118"/>
      <c r="GD82" s="118"/>
      <c r="GE82" s="118"/>
      <c r="GF82" s="118"/>
      <c r="GG82" s="118"/>
      <c r="GH82" s="118"/>
      <c r="GI82" s="118"/>
      <c r="GJ82" s="118"/>
      <c r="GK82" s="118"/>
      <c r="GL82" s="118"/>
      <c r="GM82" s="118"/>
      <c r="GN82" s="118"/>
      <c r="GO82" s="118"/>
      <c r="GP82" s="118"/>
      <c r="GQ82" s="117"/>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7"/>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7"/>
      <c r="IJ82" s="118"/>
      <c r="IK82" s="118"/>
      <c r="IL82" s="118"/>
      <c r="IM82" s="118"/>
      <c r="IN82" s="118"/>
      <c r="IO82" s="118"/>
      <c r="IP82" s="118"/>
      <c r="IQ82" s="118"/>
      <c r="IR82" s="118"/>
      <c r="IS82" s="118"/>
      <c r="IT82" s="118"/>
      <c r="IU82" s="118"/>
      <c r="IV82" s="118"/>
    </row>
    <row r="83" spans="1:256" s="116" customFormat="1" ht="15" customHeight="1">
      <c r="A83" s="606" t="s">
        <v>54</v>
      </c>
      <c r="B83" s="608"/>
      <c r="C83" s="608"/>
      <c r="D83" s="608"/>
      <c r="E83" s="608"/>
      <c r="F83" s="608"/>
      <c r="G83" s="608"/>
      <c r="H83" s="608"/>
      <c r="I83" s="608"/>
      <c r="J83" s="608"/>
      <c r="K83" s="608"/>
      <c r="L83" s="608"/>
      <c r="M83" s="608"/>
      <c r="N83" s="608"/>
      <c r="O83" s="149"/>
      <c r="P83" s="217"/>
      <c r="Q83" s="122"/>
      <c r="R83" s="122"/>
      <c r="S83" s="122"/>
      <c r="T83" s="122"/>
      <c r="U83" s="122"/>
      <c r="V83" s="122"/>
      <c r="W83" s="141"/>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1"/>
      <c r="AT83" s="142"/>
      <c r="AU83" s="142"/>
      <c r="AV83" s="142"/>
      <c r="AW83" s="142"/>
      <c r="AX83" s="142"/>
      <c r="AY83" s="142"/>
      <c r="AZ83" s="137"/>
      <c r="BA83" s="118"/>
      <c r="BB83" s="118"/>
      <c r="BC83" s="118"/>
      <c r="BD83" s="118"/>
      <c r="BE83" s="118"/>
      <c r="BF83" s="118"/>
      <c r="BG83" s="118"/>
      <c r="BH83" s="118"/>
      <c r="BI83" s="118"/>
      <c r="BJ83" s="118"/>
      <c r="BK83" s="118"/>
      <c r="BL83" s="118"/>
      <c r="BM83" s="118"/>
      <c r="BN83" s="118"/>
      <c r="BO83" s="117"/>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7"/>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7"/>
      <c r="DH83" s="118"/>
      <c r="DI83" s="118"/>
      <c r="DJ83" s="118"/>
      <c r="DK83" s="118"/>
      <c r="DL83" s="118"/>
      <c r="DM83" s="118"/>
      <c r="DN83" s="118"/>
      <c r="DO83" s="118"/>
      <c r="DP83" s="118"/>
      <c r="DQ83" s="118"/>
      <c r="DR83" s="118"/>
      <c r="DS83" s="118"/>
      <c r="DT83" s="118"/>
      <c r="DU83" s="118"/>
      <c r="DV83" s="118"/>
      <c r="DW83" s="118"/>
      <c r="DX83" s="118"/>
      <c r="DY83" s="118"/>
      <c r="DZ83" s="118"/>
      <c r="EA83" s="118"/>
      <c r="EB83" s="118"/>
      <c r="EC83" s="117"/>
      <c r="ED83" s="118"/>
      <c r="EE83" s="118"/>
      <c r="EF83" s="118"/>
      <c r="EG83" s="118"/>
      <c r="EH83" s="118"/>
      <c r="EI83" s="118"/>
      <c r="EJ83" s="118"/>
      <c r="EK83" s="118"/>
      <c r="EL83" s="118"/>
      <c r="EM83" s="118"/>
      <c r="EN83" s="118"/>
      <c r="EO83" s="118"/>
      <c r="EP83" s="118"/>
      <c r="EQ83" s="118"/>
      <c r="ER83" s="118"/>
      <c r="ES83" s="118"/>
      <c r="ET83" s="118"/>
      <c r="EU83" s="118"/>
      <c r="EV83" s="118"/>
      <c r="EW83" s="118"/>
      <c r="EX83" s="118"/>
      <c r="EY83" s="117"/>
      <c r="EZ83" s="118"/>
      <c r="FA83" s="118"/>
      <c r="FB83" s="118"/>
      <c r="FC83" s="118"/>
      <c r="FD83" s="118"/>
      <c r="FE83" s="118"/>
      <c r="FF83" s="118"/>
      <c r="FG83" s="118"/>
      <c r="FH83" s="118"/>
      <c r="FI83" s="118"/>
      <c r="FJ83" s="118"/>
      <c r="FK83" s="118"/>
      <c r="FL83" s="118"/>
      <c r="FM83" s="118"/>
      <c r="FN83" s="118"/>
      <c r="FO83" s="118"/>
      <c r="FP83" s="118"/>
      <c r="FQ83" s="118"/>
      <c r="FR83" s="118"/>
      <c r="FS83" s="118"/>
      <c r="FT83" s="118"/>
      <c r="FU83" s="117"/>
      <c r="FV83" s="118"/>
      <c r="FW83" s="118"/>
      <c r="FX83" s="118"/>
      <c r="FY83" s="118"/>
      <c r="FZ83" s="118"/>
      <c r="GA83" s="118"/>
      <c r="GB83" s="118"/>
      <c r="GC83" s="118"/>
      <c r="GD83" s="118"/>
      <c r="GE83" s="118"/>
      <c r="GF83" s="118"/>
      <c r="GG83" s="118"/>
      <c r="GH83" s="118"/>
      <c r="GI83" s="118"/>
      <c r="GJ83" s="118"/>
      <c r="GK83" s="118"/>
      <c r="GL83" s="118"/>
      <c r="GM83" s="118"/>
      <c r="GN83" s="118"/>
      <c r="GO83" s="118"/>
      <c r="GP83" s="118"/>
      <c r="GQ83" s="117"/>
      <c r="GR83" s="118"/>
      <c r="GS83" s="118"/>
      <c r="GT83" s="118"/>
      <c r="GU83" s="118"/>
      <c r="GV83" s="118"/>
      <c r="GW83" s="118"/>
      <c r="GX83" s="118"/>
      <c r="GY83" s="118"/>
      <c r="GZ83" s="118"/>
      <c r="HA83" s="118"/>
      <c r="HB83" s="118"/>
      <c r="HC83" s="118"/>
      <c r="HD83" s="118"/>
      <c r="HE83" s="118"/>
      <c r="HF83" s="118"/>
      <c r="HG83" s="118"/>
      <c r="HH83" s="118"/>
      <c r="HI83" s="118"/>
      <c r="HJ83" s="118"/>
      <c r="HK83" s="118"/>
      <c r="HL83" s="118"/>
      <c r="HM83" s="117"/>
      <c r="HN83" s="118"/>
      <c r="HO83" s="118"/>
      <c r="HP83" s="118"/>
      <c r="HQ83" s="118"/>
      <c r="HR83" s="118"/>
      <c r="HS83" s="118"/>
      <c r="HT83" s="118"/>
      <c r="HU83" s="118"/>
      <c r="HV83" s="118"/>
      <c r="HW83" s="118"/>
      <c r="HX83" s="118"/>
      <c r="HY83" s="118"/>
      <c r="HZ83" s="118"/>
      <c r="IA83" s="118"/>
      <c r="IB83" s="118"/>
      <c r="IC83" s="118"/>
      <c r="ID83" s="118"/>
      <c r="IE83" s="118"/>
      <c r="IF83" s="118"/>
      <c r="IG83" s="118"/>
      <c r="IH83" s="118"/>
      <c r="II83" s="117"/>
      <c r="IJ83" s="118"/>
      <c r="IK83" s="118"/>
      <c r="IL83" s="118"/>
      <c r="IM83" s="118"/>
      <c r="IN83" s="118"/>
      <c r="IO83" s="118"/>
      <c r="IP83" s="118"/>
      <c r="IQ83" s="118"/>
      <c r="IR83" s="118"/>
      <c r="IS83" s="118"/>
      <c r="IT83" s="118"/>
      <c r="IU83" s="118"/>
      <c r="IV83" s="118"/>
    </row>
    <row r="84" spans="1:256" s="116" customFormat="1" ht="15" customHeight="1">
      <c r="A84" s="608"/>
      <c r="B84" s="608"/>
      <c r="C84" s="608"/>
      <c r="D84" s="608"/>
      <c r="E84" s="608"/>
      <c r="F84" s="608"/>
      <c r="G84" s="608"/>
      <c r="H84" s="608"/>
      <c r="I84" s="608"/>
      <c r="J84" s="608"/>
      <c r="K84" s="608"/>
      <c r="L84" s="608"/>
      <c r="M84" s="608"/>
      <c r="N84" s="608"/>
      <c r="O84" s="149"/>
      <c r="P84" s="217"/>
      <c r="Q84" s="122"/>
      <c r="R84" s="122"/>
      <c r="S84" s="122"/>
      <c r="T84" s="122"/>
      <c r="U84" s="122"/>
      <c r="V84" s="122"/>
      <c r="W84" s="141"/>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1"/>
      <c r="AT84" s="142"/>
      <c r="AU84" s="142"/>
      <c r="AV84" s="142"/>
      <c r="AW84" s="142"/>
      <c r="AX84" s="142"/>
      <c r="AY84" s="142"/>
      <c r="AZ84" s="137"/>
      <c r="BA84" s="118"/>
      <c r="BB84" s="118"/>
      <c r="BC84" s="118"/>
      <c r="BD84" s="118"/>
      <c r="BE84" s="118"/>
      <c r="BF84" s="118"/>
      <c r="BG84" s="118"/>
      <c r="BH84" s="118"/>
      <c r="BI84" s="118"/>
      <c r="BJ84" s="118"/>
      <c r="BK84" s="118"/>
      <c r="BL84" s="118"/>
      <c r="BM84" s="118"/>
      <c r="BN84" s="118"/>
      <c r="BO84" s="117"/>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7"/>
      <c r="CL84" s="118"/>
      <c r="CM84" s="118"/>
      <c r="CN84" s="118"/>
      <c r="CO84" s="118"/>
      <c r="CP84" s="118"/>
      <c r="CQ84" s="118"/>
      <c r="CR84" s="118"/>
      <c r="CS84" s="118"/>
      <c r="CT84" s="118"/>
      <c r="CU84" s="118"/>
      <c r="CV84" s="118"/>
      <c r="CW84" s="118"/>
      <c r="CX84" s="118"/>
      <c r="CY84" s="118"/>
      <c r="CZ84" s="118"/>
      <c r="DA84" s="118"/>
      <c r="DB84" s="118"/>
      <c r="DC84" s="118"/>
      <c r="DD84" s="118"/>
      <c r="DE84" s="118"/>
      <c r="DF84" s="118"/>
      <c r="DG84" s="117"/>
      <c r="DH84" s="118"/>
      <c r="DI84" s="118"/>
      <c r="DJ84" s="118"/>
      <c r="DK84" s="118"/>
      <c r="DL84" s="118"/>
      <c r="DM84" s="118"/>
      <c r="DN84" s="118"/>
      <c r="DO84" s="118"/>
      <c r="DP84" s="118"/>
      <c r="DQ84" s="118"/>
      <c r="DR84" s="118"/>
      <c r="DS84" s="118"/>
      <c r="DT84" s="118"/>
      <c r="DU84" s="118"/>
      <c r="DV84" s="118"/>
      <c r="DW84" s="118"/>
      <c r="DX84" s="118"/>
      <c r="DY84" s="118"/>
      <c r="DZ84" s="118"/>
      <c r="EA84" s="118"/>
      <c r="EB84" s="118"/>
      <c r="EC84" s="117"/>
      <c r="ED84" s="118"/>
      <c r="EE84" s="118"/>
      <c r="EF84" s="118"/>
      <c r="EG84" s="118"/>
      <c r="EH84" s="118"/>
      <c r="EI84" s="118"/>
      <c r="EJ84" s="118"/>
      <c r="EK84" s="118"/>
      <c r="EL84" s="118"/>
      <c r="EM84" s="118"/>
      <c r="EN84" s="118"/>
      <c r="EO84" s="118"/>
      <c r="EP84" s="118"/>
      <c r="EQ84" s="118"/>
      <c r="ER84" s="118"/>
      <c r="ES84" s="118"/>
      <c r="ET84" s="118"/>
      <c r="EU84" s="118"/>
      <c r="EV84" s="118"/>
      <c r="EW84" s="118"/>
      <c r="EX84" s="118"/>
      <c r="EY84" s="117"/>
      <c r="EZ84" s="118"/>
      <c r="FA84" s="118"/>
      <c r="FB84" s="118"/>
      <c r="FC84" s="118"/>
      <c r="FD84" s="118"/>
      <c r="FE84" s="118"/>
      <c r="FF84" s="118"/>
      <c r="FG84" s="118"/>
      <c r="FH84" s="118"/>
      <c r="FI84" s="118"/>
      <c r="FJ84" s="118"/>
      <c r="FK84" s="118"/>
      <c r="FL84" s="118"/>
      <c r="FM84" s="118"/>
      <c r="FN84" s="118"/>
      <c r="FO84" s="118"/>
      <c r="FP84" s="118"/>
      <c r="FQ84" s="118"/>
      <c r="FR84" s="118"/>
      <c r="FS84" s="118"/>
      <c r="FT84" s="118"/>
      <c r="FU84" s="117"/>
      <c r="FV84" s="118"/>
      <c r="FW84" s="118"/>
      <c r="FX84" s="118"/>
      <c r="FY84" s="118"/>
      <c r="FZ84" s="118"/>
      <c r="GA84" s="118"/>
      <c r="GB84" s="118"/>
      <c r="GC84" s="118"/>
      <c r="GD84" s="118"/>
      <c r="GE84" s="118"/>
      <c r="GF84" s="118"/>
      <c r="GG84" s="118"/>
      <c r="GH84" s="118"/>
      <c r="GI84" s="118"/>
      <c r="GJ84" s="118"/>
      <c r="GK84" s="118"/>
      <c r="GL84" s="118"/>
      <c r="GM84" s="118"/>
      <c r="GN84" s="118"/>
      <c r="GO84" s="118"/>
      <c r="GP84" s="118"/>
      <c r="GQ84" s="117"/>
      <c r="GR84" s="118"/>
      <c r="GS84" s="118"/>
      <c r="GT84" s="118"/>
      <c r="GU84" s="118"/>
      <c r="GV84" s="118"/>
      <c r="GW84" s="118"/>
      <c r="GX84" s="118"/>
      <c r="GY84" s="118"/>
      <c r="GZ84" s="118"/>
      <c r="HA84" s="118"/>
      <c r="HB84" s="118"/>
      <c r="HC84" s="118"/>
      <c r="HD84" s="118"/>
      <c r="HE84" s="118"/>
      <c r="HF84" s="118"/>
      <c r="HG84" s="118"/>
      <c r="HH84" s="118"/>
      <c r="HI84" s="118"/>
      <c r="HJ84" s="118"/>
      <c r="HK84" s="118"/>
      <c r="HL84" s="118"/>
      <c r="HM84" s="117"/>
      <c r="HN84" s="118"/>
      <c r="HO84" s="118"/>
      <c r="HP84" s="118"/>
      <c r="HQ84" s="118"/>
      <c r="HR84" s="118"/>
      <c r="HS84" s="118"/>
      <c r="HT84" s="118"/>
      <c r="HU84" s="118"/>
      <c r="HV84" s="118"/>
      <c r="HW84" s="118"/>
      <c r="HX84" s="118"/>
      <c r="HY84" s="118"/>
      <c r="HZ84" s="118"/>
      <c r="IA84" s="118"/>
      <c r="IB84" s="118"/>
      <c r="IC84" s="118"/>
      <c r="ID84" s="118"/>
      <c r="IE84" s="118"/>
      <c r="IF84" s="118"/>
      <c r="IG84" s="118"/>
      <c r="IH84" s="118"/>
      <c r="II84" s="117"/>
      <c r="IJ84" s="118"/>
      <c r="IK84" s="118"/>
      <c r="IL84" s="118"/>
      <c r="IM84" s="118"/>
      <c r="IN84" s="118"/>
      <c r="IO84" s="118"/>
      <c r="IP84" s="118"/>
      <c r="IQ84" s="118"/>
      <c r="IR84" s="118"/>
      <c r="IS84" s="118"/>
      <c r="IT84" s="118"/>
      <c r="IU84" s="118"/>
      <c r="IV84" s="118"/>
    </row>
    <row r="85" spans="1:256" s="116" customFormat="1" ht="15" customHeight="1">
      <c r="A85" s="608"/>
      <c r="B85" s="608"/>
      <c r="C85" s="608"/>
      <c r="D85" s="608"/>
      <c r="E85" s="608"/>
      <c r="F85" s="608"/>
      <c r="G85" s="608"/>
      <c r="H85" s="608"/>
      <c r="I85" s="608"/>
      <c r="J85" s="608"/>
      <c r="K85" s="608"/>
      <c r="L85" s="608"/>
      <c r="M85" s="608"/>
      <c r="N85" s="608"/>
      <c r="O85" s="149"/>
      <c r="P85" s="217"/>
      <c r="Q85" s="122"/>
      <c r="R85" s="122"/>
      <c r="S85" s="122"/>
      <c r="T85" s="122"/>
      <c r="U85" s="122"/>
      <c r="V85" s="122"/>
      <c r="W85" s="141"/>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1"/>
      <c r="AT85" s="142"/>
      <c r="AU85" s="142"/>
      <c r="AV85" s="142"/>
      <c r="AW85" s="142"/>
      <c r="AX85" s="142"/>
      <c r="AY85" s="142"/>
      <c r="AZ85" s="137"/>
      <c r="BA85" s="118"/>
      <c r="BB85" s="118"/>
      <c r="BC85" s="118"/>
      <c r="BD85" s="118"/>
      <c r="BE85" s="118"/>
      <c r="BF85" s="118"/>
      <c r="BG85" s="118"/>
      <c r="BH85" s="118"/>
      <c r="BI85" s="118"/>
      <c r="BJ85" s="118"/>
      <c r="BK85" s="118"/>
      <c r="BL85" s="118"/>
      <c r="BM85" s="118"/>
      <c r="BN85" s="118"/>
      <c r="BO85" s="117"/>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7"/>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7"/>
      <c r="DH85" s="118"/>
      <c r="DI85" s="118"/>
      <c r="DJ85" s="118"/>
      <c r="DK85" s="118"/>
      <c r="DL85" s="118"/>
      <c r="DM85" s="118"/>
      <c r="DN85" s="118"/>
      <c r="DO85" s="118"/>
      <c r="DP85" s="118"/>
      <c r="DQ85" s="118"/>
      <c r="DR85" s="118"/>
      <c r="DS85" s="118"/>
      <c r="DT85" s="118"/>
      <c r="DU85" s="118"/>
      <c r="DV85" s="118"/>
      <c r="DW85" s="118"/>
      <c r="DX85" s="118"/>
      <c r="DY85" s="118"/>
      <c r="DZ85" s="118"/>
      <c r="EA85" s="118"/>
      <c r="EB85" s="118"/>
      <c r="EC85" s="117"/>
      <c r="ED85" s="118"/>
      <c r="EE85" s="118"/>
      <c r="EF85" s="118"/>
      <c r="EG85" s="118"/>
      <c r="EH85" s="118"/>
      <c r="EI85" s="118"/>
      <c r="EJ85" s="118"/>
      <c r="EK85" s="118"/>
      <c r="EL85" s="118"/>
      <c r="EM85" s="118"/>
      <c r="EN85" s="118"/>
      <c r="EO85" s="118"/>
      <c r="EP85" s="118"/>
      <c r="EQ85" s="118"/>
      <c r="ER85" s="118"/>
      <c r="ES85" s="118"/>
      <c r="ET85" s="118"/>
      <c r="EU85" s="118"/>
      <c r="EV85" s="118"/>
      <c r="EW85" s="118"/>
      <c r="EX85" s="118"/>
      <c r="EY85" s="117"/>
      <c r="EZ85" s="118"/>
      <c r="FA85" s="118"/>
      <c r="FB85" s="118"/>
      <c r="FC85" s="118"/>
      <c r="FD85" s="118"/>
      <c r="FE85" s="118"/>
      <c r="FF85" s="118"/>
      <c r="FG85" s="118"/>
      <c r="FH85" s="118"/>
      <c r="FI85" s="118"/>
      <c r="FJ85" s="118"/>
      <c r="FK85" s="118"/>
      <c r="FL85" s="118"/>
      <c r="FM85" s="118"/>
      <c r="FN85" s="118"/>
      <c r="FO85" s="118"/>
      <c r="FP85" s="118"/>
      <c r="FQ85" s="118"/>
      <c r="FR85" s="118"/>
      <c r="FS85" s="118"/>
      <c r="FT85" s="118"/>
      <c r="FU85" s="117"/>
      <c r="FV85" s="118"/>
      <c r="FW85" s="118"/>
      <c r="FX85" s="118"/>
      <c r="FY85" s="118"/>
      <c r="FZ85" s="118"/>
      <c r="GA85" s="118"/>
      <c r="GB85" s="118"/>
      <c r="GC85" s="118"/>
      <c r="GD85" s="118"/>
      <c r="GE85" s="118"/>
      <c r="GF85" s="118"/>
      <c r="GG85" s="118"/>
      <c r="GH85" s="118"/>
      <c r="GI85" s="118"/>
      <c r="GJ85" s="118"/>
      <c r="GK85" s="118"/>
      <c r="GL85" s="118"/>
      <c r="GM85" s="118"/>
      <c r="GN85" s="118"/>
      <c r="GO85" s="118"/>
      <c r="GP85" s="118"/>
      <c r="GQ85" s="117"/>
      <c r="GR85" s="118"/>
      <c r="GS85" s="118"/>
      <c r="GT85" s="118"/>
      <c r="GU85" s="118"/>
      <c r="GV85" s="118"/>
      <c r="GW85" s="118"/>
      <c r="GX85" s="118"/>
      <c r="GY85" s="118"/>
      <c r="GZ85" s="118"/>
      <c r="HA85" s="118"/>
      <c r="HB85" s="118"/>
      <c r="HC85" s="118"/>
      <c r="HD85" s="118"/>
      <c r="HE85" s="118"/>
      <c r="HF85" s="118"/>
      <c r="HG85" s="118"/>
      <c r="HH85" s="118"/>
      <c r="HI85" s="118"/>
      <c r="HJ85" s="118"/>
      <c r="HK85" s="118"/>
      <c r="HL85" s="118"/>
      <c r="HM85" s="117"/>
      <c r="HN85" s="118"/>
      <c r="HO85" s="118"/>
      <c r="HP85" s="118"/>
      <c r="HQ85" s="118"/>
      <c r="HR85" s="118"/>
      <c r="HS85" s="118"/>
      <c r="HT85" s="118"/>
      <c r="HU85" s="118"/>
      <c r="HV85" s="118"/>
      <c r="HW85" s="118"/>
      <c r="HX85" s="118"/>
      <c r="HY85" s="118"/>
      <c r="HZ85" s="118"/>
      <c r="IA85" s="118"/>
      <c r="IB85" s="118"/>
      <c r="IC85" s="118"/>
      <c r="ID85" s="118"/>
      <c r="IE85" s="118"/>
      <c r="IF85" s="118"/>
      <c r="IG85" s="118"/>
      <c r="IH85" s="118"/>
      <c r="II85" s="117"/>
      <c r="IJ85" s="118"/>
      <c r="IK85" s="118"/>
      <c r="IL85" s="118"/>
      <c r="IM85" s="118"/>
      <c r="IN85" s="118"/>
      <c r="IO85" s="118"/>
      <c r="IP85" s="118"/>
      <c r="IQ85" s="118"/>
      <c r="IR85" s="118"/>
      <c r="IS85" s="118"/>
      <c r="IT85" s="118"/>
      <c r="IU85" s="118"/>
      <c r="IV85" s="118"/>
    </row>
    <row r="86" spans="1:52" s="119" customFormat="1" ht="15" customHeight="1">
      <c r="A86" s="608"/>
      <c r="B86" s="608"/>
      <c r="C86" s="608"/>
      <c r="D86" s="608"/>
      <c r="E86" s="608"/>
      <c r="F86" s="608"/>
      <c r="G86" s="608"/>
      <c r="H86" s="608"/>
      <c r="I86" s="608"/>
      <c r="J86" s="608"/>
      <c r="K86" s="608"/>
      <c r="L86" s="608"/>
      <c r="M86" s="608"/>
      <c r="N86" s="608"/>
      <c r="O86" s="149"/>
      <c r="P86" s="217"/>
      <c r="Q86" s="122"/>
      <c r="R86" s="122"/>
      <c r="S86" s="122"/>
      <c r="T86" s="122"/>
      <c r="U86" s="122"/>
      <c r="V86" s="122"/>
      <c r="W86" s="143"/>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38"/>
    </row>
    <row r="87" spans="2:15" ht="18">
      <c r="B87" s="33"/>
      <c r="C87" s="34"/>
      <c r="D87" s="35"/>
      <c r="E87" s="22"/>
      <c r="F87" s="22"/>
      <c r="G87" s="22"/>
      <c r="H87" s="36"/>
      <c r="I87" s="37"/>
      <c r="J87" s="38"/>
      <c r="K87" s="39"/>
      <c r="L87" s="40"/>
      <c r="M87" s="41"/>
      <c r="N87" s="39"/>
      <c r="O87" s="146"/>
    </row>
    <row r="88" spans="2:15" ht="18">
      <c r="B88" s="33"/>
      <c r="C88" s="34"/>
      <c r="D88" s="35"/>
      <c r="E88" s="22"/>
      <c r="F88" s="22"/>
      <c r="G88" s="22"/>
      <c r="H88" s="36"/>
      <c r="I88" s="37"/>
      <c r="J88" s="38"/>
      <c r="K88" s="39"/>
      <c r="L88" s="40"/>
      <c r="M88" s="41"/>
      <c r="N88" s="39"/>
      <c r="O88" s="146"/>
    </row>
    <row r="89" spans="6:15" ht="22.5">
      <c r="F89" s="22"/>
      <c r="G89" s="22"/>
      <c r="H89" s="36"/>
      <c r="I89" s="37"/>
      <c r="J89" s="38"/>
      <c r="K89" s="39"/>
      <c r="L89" s="40"/>
      <c r="M89" s="41"/>
      <c r="N89" s="39"/>
      <c r="O89" s="146"/>
    </row>
    <row r="90" spans="6:15" ht="22.5">
      <c r="F90" s="22"/>
      <c r="G90" s="22"/>
      <c r="H90" s="36"/>
      <c r="I90" s="37"/>
      <c r="J90" s="38"/>
      <c r="K90" s="39"/>
      <c r="L90" s="40"/>
      <c r="M90" s="41"/>
      <c r="N90" s="39"/>
      <c r="O90" s="146"/>
    </row>
    <row r="91" spans="6:15" ht="22.5">
      <c r="F91" s="22"/>
      <c r="G91" s="22"/>
      <c r="H91" s="36"/>
      <c r="I91" s="37"/>
      <c r="J91" s="38"/>
      <c r="K91" s="39"/>
      <c r="L91" s="40"/>
      <c r="M91" s="41"/>
      <c r="N91" s="39"/>
      <c r="O91" s="146"/>
    </row>
    <row r="92" spans="6:15" ht="22.5">
      <c r="F92" s="22"/>
      <c r="G92" s="22"/>
      <c r="H92" s="36"/>
      <c r="I92" s="37"/>
      <c r="J92" s="38"/>
      <c r="K92" s="39"/>
      <c r="L92" s="40"/>
      <c r="M92" s="41"/>
      <c r="N92" s="39"/>
      <c r="O92" s="146"/>
    </row>
    <row r="93" spans="6:15" ht="22.5">
      <c r="F93" s="22"/>
      <c r="G93" s="22"/>
      <c r="H93" s="36"/>
      <c r="I93" s="37"/>
      <c r="J93" s="38"/>
      <c r="K93" s="39"/>
      <c r="L93" s="40"/>
      <c r="M93" s="41"/>
      <c r="N93" s="39"/>
      <c r="O93" s="146"/>
    </row>
    <row r="94" spans="6:15" ht="22.5">
      <c r="F94" s="22"/>
      <c r="G94" s="22"/>
      <c r="H94" s="36"/>
      <c r="I94" s="37"/>
      <c r="J94" s="38"/>
      <c r="K94" s="39"/>
      <c r="L94" s="40"/>
      <c r="M94" s="41"/>
      <c r="N94" s="39"/>
      <c r="O94" s="146"/>
    </row>
    <row r="95" spans="14:15" ht="22.5">
      <c r="N95" s="30"/>
      <c r="O95" s="146"/>
    </row>
    <row r="96" spans="14:15" ht="22.5">
      <c r="N96" s="30"/>
      <c r="O96" s="135"/>
    </row>
    <row r="97" spans="14:15" ht="22.5">
      <c r="N97" s="30"/>
      <c r="O97" s="135"/>
    </row>
    <row r="98" spans="14:15" ht="22.5">
      <c r="N98" s="30"/>
      <c r="O98" s="135"/>
    </row>
    <row r="99" spans="14:15" ht="22.5">
      <c r="N99" s="30"/>
      <c r="O99" s="135"/>
    </row>
    <row r="100" spans="14:15" ht="22.5">
      <c r="N100" s="30"/>
      <c r="O100" s="135"/>
    </row>
    <row r="101" spans="14:15" ht="22.5">
      <c r="N101" s="30"/>
      <c r="O101" s="135"/>
    </row>
    <row r="102" spans="1:14" ht="22.5">
      <c r="A102" s="123"/>
      <c r="B102" s="124"/>
      <c r="C102" s="125"/>
      <c r="D102" s="126"/>
      <c r="E102" s="127"/>
      <c r="F102" s="127"/>
      <c r="G102" s="127"/>
      <c r="H102" s="128"/>
      <c r="I102" s="129"/>
      <c r="J102" s="130"/>
      <c r="K102" s="131"/>
      <c r="L102" s="132"/>
      <c r="M102" s="133"/>
      <c r="N102" s="134"/>
    </row>
  </sheetData>
  <sheetProtection insertRows="0" deleteRows="0" sort="0"/>
  <mergeCells count="13">
    <mergeCell ref="A80:N82"/>
    <mergeCell ref="A83:N86"/>
    <mergeCell ref="A77:B77"/>
    <mergeCell ref="A79:N79"/>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K77:M78 J18:K35 J6:K14 J36:K37 N18:N35 K39:K47 L46:M47 N56:N60 N70:N75 N61:N69 L70 K48:K55 K56:K60 K61:K75 J48:J67 M70 J38 J15:K17 N6:N14" formula="1"/>
    <ignoredError sqref="E68:I76 J76 E24:H26" numberStoredAsText="1"/>
    <ignoredError sqref="L6:M37 L39:M45 M61:M69 M56:M60 L48:L55 M48:M55 L56:L60 L61:L69 L71:L75 M71:M75 J68:J75" formula="1" unlockedFormula="1"/>
    <ignoredError sqref="L5:M5 L38:M38 L76 M76" unlockedFormula="1"/>
    <ignoredError sqref="J68:J75" numberStoredAsText="1" formula="1"/>
  </ignoredErrors>
  <drawing r:id="rId1"/>
</worksheet>
</file>

<file path=xl/worksheets/sheet2.xml><?xml version="1.0" encoding="utf-8"?>
<worksheet xmlns="http://schemas.openxmlformats.org/spreadsheetml/2006/main" xmlns:r="http://schemas.openxmlformats.org/officeDocument/2006/relationships">
  <dimension ref="A1:IV101"/>
  <sheetViews>
    <sheetView zoomScale="130" zoomScaleNormal="130" zoomScalePageLayoutView="0" workbookViewId="0" topLeftCell="A1">
      <selection activeCell="A2" sqref="A2:I2"/>
    </sheetView>
  </sheetViews>
  <sheetFormatPr defaultColWidth="17.421875" defaultRowHeight="12.75"/>
  <cols>
    <col min="1" max="1" width="4.421875" style="72" bestFit="1" customWidth="1"/>
    <col min="2" max="2" width="52.140625" style="69" bestFit="1" customWidth="1"/>
    <col min="3" max="3" width="10.00390625" style="151" customWidth="1"/>
    <col min="4" max="4" width="22.00390625" style="70" bestFit="1" customWidth="1"/>
    <col min="5" max="5" width="7.421875" style="81" customWidth="1"/>
    <col min="6" max="6" width="8.421875" style="81" customWidth="1"/>
    <col min="7" max="7" width="14.7109375" style="36" bestFit="1" customWidth="1"/>
    <col min="8" max="8" width="10.421875" style="71" bestFit="1" customWidth="1"/>
    <col min="9" max="9" width="7.00390625" style="420" customWidth="1"/>
    <col min="10" max="10" width="2.140625" style="397" bestFit="1" customWidth="1"/>
    <col min="11" max="11" width="17.421875" style="159"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2"/>
      <c r="B1" s="93"/>
      <c r="C1" s="94"/>
      <c r="D1" s="95"/>
      <c r="E1" s="96"/>
      <c r="F1" s="96"/>
      <c r="G1" s="96"/>
      <c r="H1" s="97"/>
      <c r="I1" s="98"/>
      <c r="J1" s="394"/>
      <c r="K1" s="154"/>
      <c r="L1" s="101"/>
      <c r="M1" s="102"/>
      <c r="N1" s="103"/>
      <c r="O1" s="62"/>
    </row>
    <row r="2" spans="1:15" s="5" customFormat="1" ht="22.5" customHeight="1">
      <c r="A2" s="616" t="s">
        <v>83</v>
      </c>
      <c r="B2" s="617"/>
      <c r="C2" s="617"/>
      <c r="D2" s="617"/>
      <c r="E2" s="617"/>
      <c r="F2" s="617"/>
      <c r="G2" s="617"/>
      <c r="H2" s="617"/>
      <c r="I2" s="617"/>
      <c r="J2" s="395"/>
      <c r="K2" s="155"/>
      <c r="L2" s="104"/>
      <c r="M2" s="104"/>
      <c r="N2" s="104"/>
      <c r="O2" s="63"/>
    </row>
    <row r="3" spans="1:13" s="109" customFormat="1" ht="12.75">
      <c r="A3" s="106"/>
      <c r="B3" s="611" t="s">
        <v>6</v>
      </c>
      <c r="C3" s="612" t="s">
        <v>39</v>
      </c>
      <c r="D3" s="613" t="s">
        <v>42</v>
      </c>
      <c r="E3" s="614" t="s">
        <v>44</v>
      </c>
      <c r="F3" s="614" t="s">
        <v>40</v>
      </c>
      <c r="G3" s="614" t="s">
        <v>46</v>
      </c>
      <c r="H3" s="614"/>
      <c r="I3" s="615" t="s">
        <v>41</v>
      </c>
      <c r="J3" s="396"/>
      <c r="K3" s="156"/>
      <c r="L3" s="107"/>
      <c r="M3" s="108"/>
    </row>
    <row r="4" spans="1:13" s="113" customFormat="1" ht="13.5" thickBot="1">
      <c r="A4" s="110"/>
      <c r="B4" s="611"/>
      <c r="C4" s="612"/>
      <c r="D4" s="613"/>
      <c r="E4" s="614"/>
      <c r="F4" s="614"/>
      <c r="G4" s="182" t="s">
        <v>7</v>
      </c>
      <c r="H4" s="183" t="s">
        <v>5</v>
      </c>
      <c r="I4" s="615"/>
      <c r="J4" s="396"/>
      <c r="K4" s="157"/>
      <c r="L4" s="111"/>
      <c r="M4" s="112"/>
    </row>
    <row r="5" spans="1:11" ht="15">
      <c r="A5" s="105">
        <v>1</v>
      </c>
      <c r="B5" s="576" t="s">
        <v>179</v>
      </c>
      <c r="C5" s="544">
        <v>40550</v>
      </c>
      <c r="D5" s="577" t="s">
        <v>23</v>
      </c>
      <c r="E5" s="546">
        <v>356</v>
      </c>
      <c r="F5" s="546">
        <v>15</v>
      </c>
      <c r="G5" s="578">
        <v>36518893</v>
      </c>
      <c r="H5" s="579">
        <v>3915056</v>
      </c>
      <c r="I5" s="580">
        <f>+G5/H5</f>
        <v>9.327808593287044</v>
      </c>
      <c r="J5" s="296">
        <v>1</v>
      </c>
      <c r="K5" s="158"/>
    </row>
    <row r="6" spans="1:11" ht="15">
      <c r="A6" s="105">
        <v>2</v>
      </c>
      <c r="B6" s="209" t="s">
        <v>180</v>
      </c>
      <c r="C6" s="173">
        <v>40578</v>
      </c>
      <c r="D6" s="290" t="s">
        <v>23</v>
      </c>
      <c r="E6" s="241">
        <v>224</v>
      </c>
      <c r="F6" s="241">
        <v>11</v>
      </c>
      <c r="G6" s="199">
        <v>21723436</v>
      </c>
      <c r="H6" s="178">
        <v>2377782</v>
      </c>
      <c r="I6" s="214">
        <f>+G6/H6</f>
        <v>9.136008263162898</v>
      </c>
      <c r="J6" s="296">
        <v>1</v>
      </c>
      <c r="K6" s="158"/>
    </row>
    <row r="7" spans="1:11" ht="15">
      <c r="A7" s="289">
        <v>3</v>
      </c>
      <c r="B7" s="586" t="s">
        <v>181</v>
      </c>
      <c r="C7" s="587">
        <v>40571</v>
      </c>
      <c r="D7" s="588" t="s">
        <v>26</v>
      </c>
      <c r="E7" s="589">
        <v>364</v>
      </c>
      <c r="F7" s="589">
        <v>12</v>
      </c>
      <c r="G7" s="590">
        <f>9270289+4217769.25+1762200.5+76.25+863944.5+635392-7+421743.5+30+17848+42283+4475+2710+9188.5+236+9382</f>
        <v>17257560.5</v>
      </c>
      <c r="H7" s="591">
        <f>1060415+493112+207846+16+104665+81570-1+60457+6+2952+6890+337+594+1519+29+1560</f>
        <v>2021967</v>
      </c>
      <c r="I7" s="592">
        <f>G7/H7</f>
        <v>8.535035685547786</v>
      </c>
      <c r="J7" s="268">
        <v>1</v>
      </c>
      <c r="K7" s="158"/>
    </row>
    <row r="8" spans="1:11" ht="15">
      <c r="A8" s="105">
        <v>4</v>
      </c>
      <c r="B8" s="582" t="s">
        <v>183</v>
      </c>
      <c r="C8" s="583">
        <v>40599</v>
      </c>
      <c r="D8" s="584" t="s">
        <v>24</v>
      </c>
      <c r="E8" s="585">
        <v>246</v>
      </c>
      <c r="F8" s="585">
        <v>8</v>
      </c>
      <c r="G8" s="461">
        <v>7494717</v>
      </c>
      <c r="H8" s="462">
        <v>837137</v>
      </c>
      <c r="I8" s="463">
        <f>+G8/H8</f>
        <v>8.95279625676562</v>
      </c>
      <c r="J8" s="268">
        <v>1</v>
      </c>
      <c r="K8" s="158"/>
    </row>
    <row r="9" spans="1:11" ht="15">
      <c r="A9" s="105">
        <v>5</v>
      </c>
      <c r="B9" s="209" t="s">
        <v>182</v>
      </c>
      <c r="C9" s="173">
        <v>40550</v>
      </c>
      <c r="D9" s="246" t="s">
        <v>26</v>
      </c>
      <c r="E9" s="241">
        <v>238</v>
      </c>
      <c r="F9" s="241">
        <v>14</v>
      </c>
      <c r="G9" s="199">
        <f>3050831.5+2178855.5+1196710.5+496983-200+210922.5+72277.5+4+43197.5+17348.5+5963-21+911+2090+3211+288+13851</f>
        <v>7293223.5</v>
      </c>
      <c r="H9" s="178">
        <f>393137+282255+156413+64920+60+27548+10641+7089+3227+1196+161+455+643+72+2547</f>
        <v>950364</v>
      </c>
      <c r="I9" s="214">
        <f>G9/H9</f>
        <v>7.674136962258672</v>
      </c>
      <c r="J9" s="268">
        <v>1</v>
      </c>
      <c r="K9" s="158"/>
    </row>
    <row r="10" spans="1:11" ht="15">
      <c r="A10" s="105">
        <v>6</v>
      </c>
      <c r="B10" s="207" t="s">
        <v>217</v>
      </c>
      <c r="C10" s="161">
        <v>40613</v>
      </c>
      <c r="D10" s="244" t="s">
        <v>24</v>
      </c>
      <c r="E10" s="243">
        <v>280</v>
      </c>
      <c r="F10" s="243">
        <v>6</v>
      </c>
      <c r="G10" s="188">
        <v>6314216</v>
      </c>
      <c r="H10" s="176">
        <v>703105</v>
      </c>
      <c r="I10" s="208">
        <f>+G10/H10</f>
        <v>8.98047375569794</v>
      </c>
      <c r="J10" s="268">
        <v>1</v>
      </c>
      <c r="K10" s="158"/>
    </row>
    <row r="11" spans="1:11" ht="15">
      <c r="A11" s="105">
        <v>7</v>
      </c>
      <c r="B11" s="207" t="s">
        <v>127</v>
      </c>
      <c r="C11" s="161">
        <v>40564</v>
      </c>
      <c r="D11" s="244" t="s">
        <v>24</v>
      </c>
      <c r="E11" s="243">
        <v>109</v>
      </c>
      <c r="F11" s="243">
        <v>13</v>
      </c>
      <c r="G11" s="188">
        <v>3959056</v>
      </c>
      <c r="H11" s="176">
        <v>399507</v>
      </c>
      <c r="I11" s="208">
        <f>+G11/H11</f>
        <v>9.909853894925496</v>
      </c>
      <c r="J11" s="268"/>
      <c r="K11" s="158"/>
    </row>
    <row r="12" spans="1:11" ht="15">
      <c r="A12" s="105">
        <v>8</v>
      </c>
      <c r="B12" s="213" t="s">
        <v>219</v>
      </c>
      <c r="C12" s="173">
        <v>40627</v>
      </c>
      <c r="D12" s="246" t="s">
        <v>118</v>
      </c>
      <c r="E12" s="241">
        <v>137</v>
      </c>
      <c r="F12" s="241">
        <v>4</v>
      </c>
      <c r="G12" s="191">
        <f>1066061.5+1061275+813811.75+606216</f>
        <v>3547364.25</v>
      </c>
      <c r="H12" s="177">
        <f>110278+106719+82932+62672</f>
        <v>362601</v>
      </c>
      <c r="I12" s="210">
        <f>G12/H12</f>
        <v>9.783106637874688</v>
      </c>
      <c r="J12" s="268">
        <v>1</v>
      </c>
      <c r="K12" s="158"/>
    </row>
    <row r="13" spans="1:11" ht="15">
      <c r="A13" s="105">
        <v>9</v>
      </c>
      <c r="B13" s="209" t="s">
        <v>175</v>
      </c>
      <c r="C13" s="173">
        <v>40905</v>
      </c>
      <c r="D13" s="290" t="s">
        <v>23</v>
      </c>
      <c r="E13" s="241">
        <v>200</v>
      </c>
      <c r="F13" s="241">
        <v>12</v>
      </c>
      <c r="G13" s="199">
        <v>2981369</v>
      </c>
      <c r="H13" s="178">
        <v>243539</v>
      </c>
      <c r="I13" s="214">
        <f>+G13/H13</f>
        <v>12.241854487371633</v>
      </c>
      <c r="J13" s="296"/>
      <c r="K13" s="158"/>
    </row>
    <row r="14" spans="1:11" ht="15">
      <c r="A14" s="105">
        <v>10</v>
      </c>
      <c r="B14" s="455" t="s">
        <v>140</v>
      </c>
      <c r="C14" s="432">
        <v>40578</v>
      </c>
      <c r="D14" s="431" t="s">
        <v>17</v>
      </c>
      <c r="E14" s="433">
        <v>79</v>
      </c>
      <c r="F14" s="433">
        <v>10</v>
      </c>
      <c r="G14" s="197">
        <v>2674923.5</v>
      </c>
      <c r="H14" s="499">
        <v>221196</v>
      </c>
      <c r="I14" s="212">
        <v>12.093001229678656</v>
      </c>
      <c r="J14" s="527"/>
      <c r="K14" s="158"/>
    </row>
    <row r="15" spans="1:11" ht="15">
      <c r="A15" s="105">
        <v>11</v>
      </c>
      <c r="B15" s="211" t="s">
        <v>116</v>
      </c>
      <c r="C15" s="161">
        <v>40557</v>
      </c>
      <c r="D15" s="245" t="s">
        <v>27</v>
      </c>
      <c r="E15" s="231">
        <v>66</v>
      </c>
      <c r="F15" s="231">
        <v>11</v>
      </c>
      <c r="G15" s="194">
        <v>2596809</v>
      </c>
      <c r="H15" s="180">
        <v>251174</v>
      </c>
      <c r="I15" s="212">
        <f>+G15/H15</f>
        <v>10.33868553273826</v>
      </c>
      <c r="J15" s="268"/>
      <c r="K15" s="158"/>
    </row>
    <row r="16" spans="1:11" ht="15">
      <c r="A16" s="105">
        <v>12</v>
      </c>
      <c r="B16" s="207" t="s">
        <v>206</v>
      </c>
      <c r="C16" s="161">
        <v>40620</v>
      </c>
      <c r="D16" s="244" t="s">
        <v>17</v>
      </c>
      <c r="E16" s="243">
        <v>218</v>
      </c>
      <c r="F16" s="243">
        <v>5</v>
      </c>
      <c r="G16" s="197">
        <v>2406847</v>
      </c>
      <c r="H16" s="178">
        <v>275041</v>
      </c>
      <c r="I16" s="212">
        <f>IF(G16&lt;&gt;0,G16/H16,"")</f>
        <v>8.750866234488676</v>
      </c>
      <c r="J16" s="268">
        <v>1</v>
      </c>
      <c r="K16" s="158"/>
    </row>
    <row r="17" spans="1:11" ht="15">
      <c r="A17" s="105">
        <v>13</v>
      </c>
      <c r="B17" s="209" t="s">
        <v>170</v>
      </c>
      <c r="C17" s="173">
        <v>40599</v>
      </c>
      <c r="D17" s="246" t="s">
        <v>118</v>
      </c>
      <c r="E17" s="241">
        <v>58</v>
      </c>
      <c r="F17" s="241">
        <v>8</v>
      </c>
      <c r="G17" s="191">
        <f>949627.55+646695.25+355755.95+109363.25+47014.5+33893+37764+26018</f>
        <v>2206131.5</v>
      </c>
      <c r="H17" s="177">
        <f>77399+54036+29350+9290+5968+4492+5157+3726</f>
        <v>189418</v>
      </c>
      <c r="I17" s="210">
        <f>G17/H17</f>
        <v>11.646894698497503</v>
      </c>
      <c r="J17" s="268"/>
      <c r="K17" s="158"/>
    </row>
    <row r="18" spans="1:11" ht="15">
      <c r="A18" s="105">
        <v>14</v>
      </c>
      <c r="B18" s="207" t="s">
        <v>218</v>
      </c>
      <c r="C18" s="161">
        <v>40606</v>
      </c>
      <c r="D18" s="244" t="s">
        <v>17</v>
      </c>
      <c r="E18" s="243">
        <v>152</v>
      </c>
      <c r="F18" s="243">
        <v>7</v>
      </c>
      <c r="G18" s="197">
        <v>2149133</v>
      </c>
      <c r="H18" s="178">
        <v>253872</v>
      </c>
      <c r="I18" s="212">
        <f>IF(G18&lt;&gt;0,G18/H18,"")</f>
        <v>8.465419581521397</v>
      </c>
      <c r="J18" s="268">
        <v>1</v>
      </c>
      <c r="K18" s="158"/>
    </row>
    <row r="19" spans="1:11" ht="15">
      <c r="A19" s="105">
        <v>15</v>
      </c>
      <c r="B19" s="213" t="s">
        <v>247</v>
      </c>
      <c r="C19" s="173">
        <v>40641</v>
      </c>
      <c r="D19" s="246" t="s">
        <v>118</v>
      </c>
      <c r="E19" s="241">
        <v>137</v>
      </c>
      <c r="F19" s="241">
        <v>2</v>
      </c>
      <c r="G19" s="191">
        <f>1094534.25+883755.25</f>
        <v>1978289.5</v>
      </c>
      <c r="H19" s="177">
        <f>103644+88345</f>
        <v>191989</v>
      </c>
      <c r="I19" s="210">
        <f>G19/H19</f>
        <v>10.304181489564506</v>
      </c>
      <c r="J19" s="268"/>
      <c r="K19" s="158"/>
    </row>
    <row r="20" spans="1:11" ht="15">
      <c r="A20" s="105">
        <v>16</v>
      </c>
      <c r="B20" s="209" t="s">
        <v>172</v>
      </c>
      <c r="C20" s="173">
        <v>40592</v>
      </c>
      <c r="D20" s="290" t="s">
        <v>23</v>
      </c>
      <c r="E20" s="241">
        <v>27</v>
      </c>
      <c r="F20" s="241">
        <v>9</v>
      </c>
      <c r="G20" s="199">
        <v>1884337</v>
      </c>
      <c r="H20" s="178">
        <v>148501</v>
      </c>
      <c r="I20" s="214">
        <f>+G20/H20</f>
        <v>12.689052598972397</v>
      </c>
      <c r="J20" s="296"/>
      <c r="K20" s="158"/>
    </row>
    <row r="21" spans="1:11" ht="15">
      <c r="A21" s="105">
        <v>17</v>
      </c>
      <c r="B21" s="581" t="s">
        <v>230</v>
      </c>
      <c r="C21" s="501">
        <v>40564</v>
      </c>
      <c r="D21" s="500" t="s">
        <v>118</v>
      </c>
      <c r="E21" s="568">
        <v>160</v>
      </c>
      <c r="F21" s="568">
        <v>9</v>
      </c>
      <c r="G21" s="303">
        <v>1703400.5</v>
      </c>
      <c r="H21" s="307">
        <v>230621</v>
      </c>
      <c r="I21" s="373">
        <v>7.386146534790847</v>
      </c>
      <c r="J21" s="529">
        <v>1</v>
      </c>
      <c r="K21" s="158"/>
    </row>
    <row r="22" spans="1:11" ht="15">
      <c r="A22" s="105">
        <v>18</v>
      </c>
      <c r="B22" s="207" t="s">
        <v>221</v>
      </c>
      <c r="C22" s="161">
        <v>40627</v>
      </c>
      <c r="D22" s="244" t="s">
        <v>24</v>
      </c>
      <c r="E22" s="243">
        <v>73</v>
      </c>
      <c r="F22" s="243">
        <v>4</v>
      </c>
      <c r="G22" s="188">
        <v>1475623</v>
      </c>
      <c r="H22" s="176">
        <v>128666</v>
      </c>
      <c r="I22" s="208">
        <f>+G22/H22</f>
        <v>11.468631961823636</v>
      </c>
      <c r="J22" s="268"/>
      <c r="K22" s="158"/>
    </row>
    <row r="23" spans="1:11" ht="15">
      <c r="A23" s="105">
        <v>19</v>
      </c>
      <c r="B23" s="207" t="s">
        <v>147</v>
      </c>
      <c r="C23" s="161">
        <v>40585</v>
      </c>
      <c r="D23" s="244" t="s">
        <v>24</v>
      </c>
      <c r="E23" s="243">
        <v>89</v>
      </c>
      <c r="F23" s="243">
        <v>9</v>
      </c>
      <c r="G23" s="188">
        <v>1435238</v>
      </c>
      <c r="H23" s="176">
        <v>143985</v>
      </c>
      <c r="I23" s="208">
        <f>+G23/H23</f>
        <v>9.96796888564781</v>
      </c>
      <c r="J23" s="268"/>
      <c r="K23" s="158"/>
    </row>
    <row r="24" spans="1:11" ht="15">
      <c r="A24" s="105">
        <v>20</v>
      </c>
      <c r="B24" s="207" t="s">
        <v>259</v>
      </c>
      <c r="C24" s="161">
        <v>40627</v>
      </c>
      <c r="D24" s="244" t="s">
        <v>24</v>
      </c>
      <c r="E24" s="243">
        <v>126</v>
      </c>
      <c r="F24" s="243">
        <v>4</v>
      </c>
      <c r="G24" s="188">
        <v>1396767</v>
      </c>
      <c r="H24" s="176">
        <v>124925</v>
      </c>
      <c r="I24" s="208">
        <f>+G24/H24</f>
        <v>11.180844506704023</v>
      </c>
      <c r="J24" s="268"/>
      <c r="K24" s="158"/>
    </row>
    <row r="25" spans="1:11" ht="15">
      <c r="A25" s="105">
        <v>21</v>
      </c>
      <c r="B25" s="524" t="s">
        <v>60</v>
      </c>
      <c r="C25" s="428">
        <v>40543</v>
      </c>
      <c r="D25" s="515" t="s">
        <v>212</v>
      </c>
      <c r="E25" s="503">
        <v>99</v>
      </c>
      <c r="F25" s="503">
        <v>12</v>
      </c>
      <c r="G25" s="191">
        <v>1386742</v>
      </c>
      <c r="H25" s="177">
        <v>128014</v>
      </c>
      <c r="I25" s="210">
        <v>10.83273704438577</v>
      </c>
      <c r="J25" s="530"/>
      <c r="K25" s="158"/>
    </row>
    <row r="26" spans="1:11" ht="15">
      <c r="A26" s="105">
        <v>22</v>
      </c>
      <c r="B26" s="209" t="s">
        <v>117</v>
      </c>
      <c r="C26" s="173">
        <v>40557</v>
      </c>
      <c r="D26" s="290" t="s">
        <v>23</v>
      </c>
      <c r="E26" s="241">
        <v>129</v>
      </c>
      <c r="F26" s="241">
        <v>14</v>
      </c>
      <c r="G26" s="199">
        <v>1375318</v>
      </c>
      <c r="H26" s="178">
        <v>121559</v>
      </c>
      <c r="I26" s="214">
        <f>+G26/H26</f>
        <v>11.313995672883127</v>
      </c>
      <c r="J26" s="296"/>
      <c r="K26" s="158"/>
    </row>
    <row r="27" spans="1:11" ht="15">
      <c r="A27" s="105">
        <v>23</v>
      </c>
      <c r="B27" s="207" t="s">
        <v>196</v>
      </c>
      <c r="C27" s="161">
        <v>40613</v>
      </c>
      <c r="D27" s="244" t="s">
        <v>17</v>
      </c>
      <c r="E27" s="243">
        <v>89</v>
      </c>
      <c r="F27" s="243">
        <v>6</v>
      </c>
      <c r="G27" s="197">
        <v>1316753</v>
      </c>
      <c r="H27" s="178">
        <v>119662</v>
      </c>
      <c r="I27" s="212">
        <f>IF(G27&lt;&gt;0,G27/H27,"")</f>
        <v>11.003936086644048</v>
      </c>
      <c r="J27" s="268"/>
      <c r="K27" s="158"/>
    </row>
    <row r="28" spans="1:11" ht="15">
      <c r="A28" s="105">
        <v>24</v>
      </c>
      <c r="B28" s="213" t="s">
        <v>249</v>
      </c>
      <c r="C28" s="164">
        <v>40641</v>
      </c>
      <c r="D28" s="242" t="s">
        <v>118</v>
      </c>
      <c r="E28" s="241">
        <v>128</v>
      </c>
      <c r="F28" s="241">
        <v>2</v>
      </c>
      <c r="G28" s="191">
        <f>740297.75+546709.5</f>
        <v>1287007.25</v>
      </c>
      <c r="H28" s="177">
        <f>69545+52953</f>
        <v>122498</v>
      </c>
      <c r="I28" s="210">
        <f>G28/H28</f>
        <v>10.506353164949632</v>
      </c>
      <c r="J28" s="268"/>
      <c r="K28" s="158"/>
    </row>
    <row r="29" spans="1:11" ht="15">
      <c r="A29" s="105">
        <v>25</v>
      </c>
      <c r="B29" s="205" t="s">
        <v>273</v>
      </c>
      <c r="C29" s="164">
        <v>40557</v>
      </c>
      <c r="D29" s="242" t="s">
        <v>118</v>
      </c>
      <c r="E29" s="241">
        <v>50</v>
      </c>
      <c r="F29" s="241">
        <v>11</v>
      </c>
      <c r="G29" s="191">
        <f>462199.75+464711.5+220315+61757.25+29707.5+19286.5+8649+8790+1188+2323+1706</f>
        <v>1280633.5</v>
      </c>
      <c r="H29" s="177">
        <f>36851+37511+17353+5020+3902+3186+1212+1112+297+256+244</f>
        <v>106944</v>
      </c>
      <c r="I29" s="210">
        <f>G29/H29</f>
        <v>11.974804570616397</v>
      </c>
      <c r="J29" s="268"/>
      <c r="K29" s="158"/>
    </row>
    <row r="30" spans="1:11" ht="15">
      <c r="A30" s="105">
        <v>26</v>
      </c>
      <c r="B30" s="205" t="s">
        <v>195</v>
      </c>
      <c r="C30" s="164">
        <v>40606</v>
      </c>
      <c r="D30" s="290" t="s">
        <v>23</v>
      </c>
      <c r="E30" s="241">
        <v>104</v>
      </c>
      <c r="F30" s="241">
        <v>7</v>
      </c>
      <c r="G30" s="186">
        <v>1250019</v>
      </c>
      <c r="H30" s="178">
        <v>126055</v>
      </c>
      <c r="I30" s="206">
        <f>+G30/H30</f>
        <v>9.916457102058626</v>
      </c>
      <c r="J30" s="296"/>
      <c r="K30" s="158"/>
    </row>
    <row r="31" spans="1:11" ht="15">
      <c r="A31" s="105">
        <v>27</v>
      </c>
      <c r="B31" s="205" t="s">
        <v>244</v>
      </c>
      <c r="C31" s="164">
        <v>40606</v>
      </c>
      <c r="D31" s="290" t="s">
        <v>23</v>
      </c>
      <c r="E31" s="241">
        <v>93</v>
      </c>
      <c r="F31" s="241">
        <v>7</v>
      </c>
      <c r="G31" s="186">
        <v>1213734</v>
      </c>
      <c r="H31" s="178">
        <v>107252</v>
      </c>
      <c r="I31" s="206">
        <f>+G31/H31</f>
        <v>11.316656099653153</v>
      </c>
      <c r="J31" s="296"/>
      <c r="K31" s="158"/>
    </row>
    <row r="32" spans="1:11" ht="15">
      <c r="A32" s="105">
        <v>28</v>
      </c>
      <c r="B32" s="207" t="s">
        <v>226</v>
      </c>
      <c r="C32" s="161">
        <v>40620</v>
      </c>
      <c r="D32" s="244" t="s">
        <v>24</v>
      </c>
      <c r="E32" s="243">
        <v>89</v>
      </c>
      <c r="F32" s="243">
        <v>5</v>
      </c>
      <c r="G32" s="188">
        <v>1115838</v>
      </c>
      <c r="H32" s="176">
        <v>109264</v>
      </c>
      <c r="I32" s="208">
        <f>+G32/H32</f>
        <v>10.212311465807586</v>
      </c>
      <c r="J32" s="268"/>
      <c r="K32" s="158"/>
    </row>
    <row r="33" spans="1:11" ht="15">
      <c r="A33" s="105">
        <v>29</v>
      </c>
      <c r="B33" s="211" t="s">
        <v>197</v>
      </c>
      <c r="C33" s="161">
        <v>40613</v>
      </c>
      <c r="D33" s="232" t="s">
        <v>25</v>
      </c>
      <c r="E33" s="231">
        <v>105</v>
      </c>
      <c r="F33" s="231">
        <v>6</v>
      </c>
      <c r="G33" s="202">
        <v>878302</v>
      </c>
      <c r="H33" s="179">
        <v>98869</v>
      </c>
      <c r="I33" s="215">
        <f>+G33/H33</f>
        <v>8.883492297889125</v>
      </c>
      <c r="J33" s="268">
        <v>1</v>
      </c>
      <c r="K33" s="158"/>
    </row>
    <row r="34" spans="1:11" ht="15">
      <c r="A34" s="105">
        <v>30</v>
      </c>
      <c r="B34" s="213" t="s">
        <v>220</v>
      </c>
      <c r="C34" s="164">
        <v>40585</v>
      </c>
      <c r="D34" s="242" t="s">
        <v>118</v>
      </c>
      <c r="E34" s="241">
        <v>58</v>
      </c>
      <c r="F34" s="241">
        <v>10</v>
      </c>
      <c r="G34" s="191">
        <f>236018+209847.25+105622+138051.5+64189.5+34454+20202.5+27754+16946+8179.5</f>
        <v>861264.25</v>
      </c>
      <c r="H34" s="177">
        <f>25731+24506+13184+19079+9581+4996+3067+4392+3122+1175</f>
        <v>108833</v>
      </c>
      <c r="I34" s="210">
        <f>G34/H34</f>
        <v>7.913631435318332</v>
      </c>
      <c r="J34" s="268">
        <v>1</v>
      </c>
      <c r="K34" s="158"/>
    </row>
    <row r="35" spans="1:11" ht="15">
      <c r="A35" s="105">
        <v>31</v>
      </c>
      <c r="B35" s="205" t="s">
        <v>265</v>
      </c>
      <c r="C35" s="164">
        <v>40620</v>
      </c>
      <c r="D35" s="290" t="s">
        <v>23</v>
      </c>
      <c r="E35" s="241">
        <v>51</v>
      </c>
      <c r="F35" s="241">
        <v>5</v>
      </c>
      <c r="G35" s="186">
        <v>832794</v>
      </c>
      <c r="H35" s="178">
        <v>69764</v>
      </c>
      <c r="I35" s="206">
        <f>+G35/H35</f>
        <v>11.93730290694341</v>
      </c>
      <c r="J35" s="296"/>
      <c r="K35" s="158"/>
    </row>
    <row r="36" spans="1:11" ht="15">
      <c r="A36" s="105">
        <v>32</v>
      </c>
      <c r="B36" s="211" t="s">
        <v>207</v>
      </c>
      <c r="C36" s="161">
        <v>40620</v>
      </c>
      <c r="D36" s="245" t="s">
        <v>27</v>
      </c>
      <c r="E36" s="231">
        <v>37</v>
      </c>
      <c r="F36" s="231">
        <v>5</v>
      </c>
      <c r="G36" s="194">
        <v>771372</v>
      </c>
      <c r="H36" s="180">
        <v>66023</v>
      </c>
      <c r="I36" s="212">
        <f>+G36/H36</f>
        <v>11.683383063477878</v>
      </c>
      <c r="J36" s="268"/>
      <c r="K36" s="158"/>
    </row>
    <row r="37" spans="1:11" ht="15">
      <c r="A37" s="105">
        <v>33</v>
      </c>
      <c r="B37" s="205" t="s">
        <v>137</v>
      </c>
      <c r="C37" s="164">
        <v>40571</v>
      </c>
      <c r="D37" s="242" t="s">
        <v>103</v>
      </c>
      <c r="E37" s="241">
        <v>20</v>
      </c>
      <c r="F37" s="241">
        <v>11</v>
      </c>
      <c r="G37" s="234">
        <v>765329</v>
      </c>
      <c r="H37" s="235">
        <v>63183</v>
      </c>
      <c r="I37" s="267">
        <v>12.11289429118592</v>
      </c>
      <c r="J37" s="268"/>
      <c r="K37" s="158"/>
    </row>
    <row r="38" spans="1:11" ht="15">
      <c r="A38" s="105">
        <v>34</v>
      </c>
      <c r="B38" s="205" t="s">
        <v>222</v>
      </c>
      <c r="C38" s="164">
        <v>40627</v>
      </c>
      <c r="D38" s="290" t="s">
        <v>23</v>
      </c>
      <c r="E38" s="241">
        <v>80</v>
      </c>
      <c r="F38" s="241">
        <v>4</v>
      </c>
      <c r="G38" s="186">
        <v>659835</v>
      </c>
      <c r="H38" s="178">
        <v>67437</v>
      </c>
      <c r="I38" s="206">
        <f>+G38/H38</f>
        <v>9.784465501134392</v>
      </c>
      <c r="J38" s="296"/>
      <c r="K38" s="158"/>
    </row>
    <row r="39" spans="1:11" ht="15">
      <c r="A39" s="105">
        <v>35</v>
      </c>
      <c r="B39" s="205" t="s">
        <v>276</v>
      </c>
      <c r="C39" s="164">
        <v>40648</v>
      </c>
      <c r="D39" s="290" t="s">
        <v>23</v>
      </c>
      <c r="E39" s="241">
        <v>65</v>
      </c>
      <c r="F39" s="241">
        <v>1</v>
      </c>
      <c r="G39" s="186">
        <v>618943</v>
      </c>
      <c r="H39" s="178">
        <v>59468</v>
      </c>
      <c r="I39" s="206">
        <f>+G39/H39</f>
        <v>10.408000941682921</v>
      </c>
      <c r="J39" s="296"/>
      <c r="K39" s="158"/>
    </row>
    <row r="40" spans="1:11" ht="15">
      <c r="A40" s="105">
        <v>36</v>
      </c>
      <c r="B40" s="213" t="s">
        <v>171</v>
      </c>
      <c r="C40" s="164">
        <v>40599</v>
      </c>
      <c r="D40" s="242" t="s">
        <v>118</v>
      </c>
      <c r="E40" s="241">
        <v>60</v>
      </c>
      <c r="F40" s="241">
        <v>8</v>
      </c>
      <c r="G40" s="191">
        <f>324952+205669.75+36076.25+7149.5+4976+6474+8888+8102.5</f>
        <v>602288</v>
      </c>
      <c r="H40" s="177">
        <f>28582+18445+3670+1269+845+865+1858+1230</f>
        <v>56764</v>
      </c>
      <c r="I40" s="210">
        <f>G40/H40</f>
        <v>10.610386864914382</v>
      </c>
      <c r="J40" s="268"/>
      <c r="K40" s="158"/>
    </row>
    <row r="41" spans="1:11" ht="15">
      <c r="A41" s="105">
        <v>37</v>
      </c>
      <c r="B41" s="205" t="s">
        <v>275</v>
      </c>
      <c r="C41" s="164">
        <v>40634</v>
      </c>
      <c r="D41" s="242" t="s">
        <v>31</v>
      </c>
      <c r="E41" s="241">
        <v>149</v>
      </c>
      <c r="F41" s="241">
        <v>3</v>
      </c>
      <c r="G41" s="186">
        <v>592829.5</v>
      </c>
      <c r="H41" s="178">
        <v>81625</v>
      </c>
      <c r="I41" s="206">
        <f>G41/H41</f>
        <v>7.2628422664624805</v>
      </c>
      <c r="J41" s="268">
        <v>1</v>
      </c>
      <c r="K41" s="158"/>
    </row>
    <row r="42" spans="1:11" ht="15">
      <c r="A42" s="105">
        <v>38</v>
      </c>
      <c r="B42" s="207" t="s">
        <v>231</v>
      </c>
      <c r="C42" s="161">
        <v>40634</v>
      </c>
      <c r="D42" s="244" t="s">
        <v>24</v>
      </c>
      <c r="E42" s="243">
        <v>76</v>
      </c>
      <c r="F42" s="243">
        <v>3</v>
      </c>
      <c r="G42" s="188">
        <v>590553</v>
      </c>
      <c r="H42" s="176">
        <v>56832</v>
      </c>
      <c r="I42" s="208">
        <f>+G42/H42</f>
        <v>10.391205658783784</v>
      </c>
      <c r="J42" s="268"/>
      <c r="K42" s="158"/>
    </row>
    <row r="43" spans="1:11" ht="15">
      <c r="A43" s="105">
        <v>39</v>
      </c>
      <c r="B43" s="455" t="s">
        <v>162</v>
      </c>
      <c r="C43" s="432">
        <v>40592</v>
      </c>
      <c r="D43" s="431" t="s">
        <v>24</v>
      </c>
      <c r="E43" s="433">
        <v>168</v>
      </c>
      <c r="F43" s="433">
        <v>3</v>
      </c>
      <c r="G43" s="188">
        <v>572572</v>
      </c>
      <c r="H43" s="176">
        <v>51135</v>
      </c>
      <c r="I43" s="208">
        <v>11.197262149212868</v>
      </c>
      <c r="J43" s="531"/>
      <c r="K43" s="158"/>
    </row>
    <row r="44" spans="1:11" ht="15">
      <c r="A44" s="105">
        <v>40</v>
      </c>
      <c r="B44" s="521" t="s">
        <v>185</v>
      </c>
      <c r="C44" s="504">
        <v>40592</v>
      </c>
      <c r="D44" s="505" t="s">
        <v>23</v>
      </c>
      <c r="E44" s="498">
        <v>80</v>
      </c>
      <c r="F44" s="498">
        <v>4</v>
      </c>
      <c r="G44" s="506">
        <v>516771</v>
      </c>
      <c r="H44" s="507">
        <v>59215</v>
      </c>
      <c r="I44" s="208">
        <v>8.727028624503927</v>
      </c>
      <c r="J44" s="528">
        <v>1</v>
      </c>
      <c r="K44" s="158"/>
    </row>
    <row r="45" spans="1:11" ht="15">
      <c r="A45" s="105">
        <v>41</v>
      </c>
      <c r="B45" s="455" t="s">
        <v>184</v>
      </c>
      <c r="C45" s="432">
        <v>40564</v>
      </c>
      <c r="D45" s="431" t="s">
        <v>17</v>
      </c>
      <c r="E45" s="433">
        <v>100</v>
      </c>
      <c r="F45" s="433">
        <v>8</v>
      </c>
      <c r="G45" s="197">
        <v>500620.5</v>
      </c>
      <c r="H45" s="499">
        <v>60459</v>
      </c>
      <c r="I45" s="208">
        <v>8.280330471890041</v>
      </c>
      <c r="J45" s="531">
        <v>1</v>
      </c>
      <c r="K45" s="158"/>
    </row>
    <row r="46" spans="1:11" ht="15">
      <c r="A46" s="105">
        <v>42</v>
      </c>
      <c r="B46" s="205" t="s">
        <v>163</v>
      </c>
      <c r="C46" s="164">
        <v>40592</v>
      </c>
      <c r="D46" s="242" t="s">
        <v>118</v>
      </c>
      <c r="E46" s="241">
        <v>26</v>
      </c>
      <c r="F46" s="241">
        <v>9</v>
      </c>
      <c r="G46" s="191">
        <f>237198+117355.25+39279+7609+10490+5994.5+4177+5529+13722.5</f>
        <v>441354.25</v>
      </c>
      <c r="H46" s="177">
        <f>20106+9312+4270+1420+2469+1087+657+754+2056</f>
        <v>42131</v>
      </c>
      <c r="I46" s="210">
        <f>G46/H46</f>
        <v>10.475760129121074</v>
      </c>
      <c r="J46" s="268"/>
      <c r="K46" s="158"/>
    </row>
    <row r="47" spans="1:11" ht="15">
      <c r="A47" s="105">
        <v>43</v>
      </c>
      <c r="B47" s="213" t="s">
        <v>262</v>
      </c>
      <c r="C47" s="164">
        <v>40634</v>
      </c>
      <c r="D47" s="242" t="s">
        <v>118</v>
      </c>
      <c r="E47" s="241">
        <v>36</v>
      </c>
      <c r="F47" s="241">
        <v>3</v>
      </c>
      <c r="G47" s="191">
        <f>246204.5+109921+33785.5</f>
        <v>389911</v>
      </c>
      <c r="H47" s="177">
        <f>18876+8227+2662</f>
        <v>29765</v>
      </c>
      <c r="I47" s="210">
        <f>G47/H47</f>
        <v>13.099647236687385</v>
      </c>
      <c r="J47" s="268"/>
      <c r="K47" s="158"/>
    </row>
    <row r="48" spans="1:11" ht="15">
      <c r="A48" s="105">
        <v>44</v>
      </c>
      <c r="B48" s="456" t="s">
        <v>148</v>
      </c>
      <c r="C48" s="432">
        <v>40585</v>
      </c>
      <c r="D48" s="434" t="s">
        <v>27</v>
      </c>
      <c r="E48" s="435">
        <v>41</v>
      </c>
      <c r="F48" s="435">
        <v>8</v>
      </c>
      <c r="G48" s="194">
        <v>346138</v>
      </c>
      <c r="H48" s="180">
        <v>29456</v>
      </c>
      <c r="I48" s="208">
        <v>11.75101846822379</v>
      </c>
      <c r="J48" s="528"/>
      <c r="K48" s="158"/>
    </row>
    <row r="49" spans="1:11" ht="15">
      <c r="A49" s="105">
        <v>45</v>
      </c>
      <c r="B49" s="523" t="s">
        <v>229</v>
      </c>
      <c r="C49" s="504">
        <v>40606</v>
      </c>
      <c r="D49" s="505" t="s">
        <v>23</v>
      </c>
      <c r="E49" s="498">
        <v>52</v>
      </c>
      <c r="F49" s="498">
        <v>5</v>
      </c>
      <c r="G49" s="506">
        <v>327940</v>
      </c>
      <c r="H49" s="507">
        <v>26292</v>
      </c>
      <c r="I49" s="208">
        <v>12.472995588011562</v>
      </c>
      <c r="J49" s="528"/>
      <c r="K49" s="158"/>
    </row>
    <row r="50" spans="1:11" ht="15">
      <c r="A50" s="105">
        <v>46</v>
      </c>
      <c r="B50" s="213" t="s">
        <v>277</v>
      </c>
      <c r="C50" s="164">
        <v>40648</v>
      </c>
      <c r="D50" s="242" t="s">
        <v>118</v>
      </c>
      <c r="E50" s="241">
        <v>72</v>
      </c>
      <c r="F50" s="241">
        <v>1</v>
      </c>
      <c r="G50" s="191">
        <f>313705</f>
        <v>313705</v>
      </c>
      <c r="H50" s="177">
        <f>29673</f>
        <v>29673</v>
      </c>
      <c r="I50" s="210">
        <f>G50/H50</f>
        <v>10.572068884170795</v>
      </c>
      <c r="J50" s="268"/>
      <c r="K50" s="158"/>
    </row>
    <row r="51" spans="1:11" ht="15">
      <c r="A51" s="105">
        <v>47</v>
      </c>
      <c r="B51" s="207" t="s">
        <v>278</v>
      </c>
      <c r="C51" s="161">
        <v>40648</v>
      </c>
      <c r="D51" s="244" t="s">
        <v>24</v>
      </c>
      <c r="E51" s="243">
        <v>76</v>
      </c>
      <c r="F51" s="243">
        <v>1</v>
      </c>
      <c r="G51" s="188">
        <v>282179</v>
      </c>
      <c r="H51" s="176">
        <v>27810</v>
      </c>
      <c r="I51" s="208">
        <f>+G51/H51</f>
        <v>10.146673858324343</v>
      </c>
      <c r="J51" s="268"/>
      <c r="K51" s="158"/>
    </row>
    <row r="52" spans="1:11" ht="15">
      <c r="A52" s="105">
        <v>48</v>
      </c>
      <c r="B52" s="205" t="s">
        <v>173</v>
      </c>
      <c r="C52" s="164">
        <v>40599</v>
      </c>
      <c r="D52" s="290" t="s">
        <v>23</v>
      </c>
      <c r="E52" s="241">
        <v>30</v>
      </c>
      <c r="F52" s="241">
        <v>8</v>
      </c>
      <c r="G52" s="186">
        <v>269624</v>
      </c>
      <c r="H52" s="178">
        <v>21949</v>
      </c>
      <c r="I52" s="206">
        <f>+G52/H52</f>
        <v>12.28411317144289</v>
      </c>
      <c r="J52" s="296"/>
      <c r="K52" s="158"/>
    </row>
    <row r="53" spans="1:11" ht="15">
      <c r="A53" s="105">
        <v>49</v>
      </c>
      <c r="B53" s="205" t="s">
        <v>279</v>
      </c>
      <c r="C53" s="164">
        <v>40648</v>
      </c>
      <c r="D53" s="290" t="s">
        <v>23</v>
      </c>
      <c r="E53" s="241">
        <v>75</v>
      </c>
      <c r="F53" s="241">
        <v>1</v>
      </c>
      <c r="G53" s="186">
        <v>238635</v>
      </c>
      <c r="H53" s="178">
        <v>22958</v>
      </c>
      <c r="I53" s="206">
        <f>+G53/H53</f>
        <v>10.39441588988588</v>
      </c>
      <c r="J53" s="296"/>
      <c r="K53" s="158"/>
    </row>
    <row r="54" spans="1:11" ht="15">
      <c r="A54" s="105">
        <v>50</v>
      </c>
      <c r="B54" s="547" t="s">
        <v>85</v>
      </c>
      <c r="C54" s="161">
        <v>40543</v>
      </c>
      <c r="D54" s="245" t="s">
        <v>104</v>
      </c>
      <c r="E54" s="532" t="s">
        <v>74</v>
      </c>
      <c r="F54" s="532" t="s">
        <v>274</v>
      </c>
      <c r="G54" s="194">
        <v>237694</v>
      </c>
      <c r="H54" s="180">
        <v>19766</v>
      </c>
      <c r="I54" s="212">
        <f>+G54/H54</f>
        <v>12.0253971466154</v>
      </c>
      <c r="J54" s="268"/>
      <c r="K54" s="158"/>
    </row>
    <row r="55" spans="1:11" ht="15">
      <c r="A55" s="105">
        <v>51</v>
      </c>
      <c r="B55" s="205" t="s">
        <v>198</v>
      </c>
      <c r="C55" s="164">
        <v>40613</v>
      </c>
      <c r="D55" s="242" t="s">
        <v>118</v>
      </c>
      <c r="E55" s="241">
        <v>25</v>
      </c>
      <c r="F55" s="241">
        <v>6</v>
      </c>
      <c r="G55" s="191">
        <f>75934+53479.5+29060+17465+26762+20460.5</f>
        <v>223161</v>
      </c>
      <c r="H55" s="177">
        <f>9554+7103+4053+2490+4055+3124</f>
        <v>30379</v>
      </c>
      <c r="I55" s="210">
        <f>G55/H55</f>
        <v>7.345896836630567</v>
      </c>
      <c r="J55" s="425">
        <v>1</v>
      </c>
      <c r="K55" s="158"/>
    </row>
    <row r="56" spans="1:11" ht="15">
      <c r="A56" s="105">
        <v>52</v>
      </c>
      <c r="B56" s="520" t="s">
        <v>186</v>
      </c>
      <c r="C56" s="428">
        <v>40543</v>
      </c>
      <c r="D56" s="502" t="s">
        <v>118</v>
      </c>
      <c r="E56" s="503">
        <v>77</v>
      </c>
      <c r="F56" s="503">
        <v>9</v>
      </c>
      <c r="G56" s="191">
        <v>213117.5</v>
      </c>
      <c r="H56" s="177">
        <v>22798</v>
      </c>
      <c r="I56" s="208">
        <v>9.348078778840248</v>
      </c>
      <c r="J56" s="530">
        <v>1</v>
      </c>
      <c r="K56" s="158"/>
    </row>
    <row r="57" spans="1:11" ht="15">
      <c r="A57" s="105">
        <v>53</v>
      </c>
      <c r="B57" s="456" t="s">
        <v>187</v>
      </c>
      <c r="C57" s="432">
        <v>40557</v>
      </c>
      <c r="D57" s="434" t="s">
        <v>27</v>
      </c>
      <c r="E57" s="435">
        <v>66</v>
      </c>
      <c r="F57" s="435">
        <v>8</v>
      </c>
      <c r="G57" s="194">
        <v>207906</v>
      </c>
      <c r="H57" s="180">
        <v>24812</v>
      </c>
      <c r="I57" s="208">
        <v>8.37925197485088</v>
      </c>
      <c r="J57" s="531">
        <v>1</v>
      </c>
      <c r="K57" s="158"/>
    </row>
    <row r="58" spans="1:11" ht="15">
      <c r="A58" s="105">
        <v>54</v>
      </c>
      <c r="B58" s="523" t="s">
        <v>141</v>
      </c>
      <c r="C58" s="504">
        <v>40543</v>
      </c>
      <c r="D58" s="505" t="s">
        <v>23</v>
      </c>
      <c r="E58" s="498">
        <v>118</v>
      </c>
      <c r="F58" s="498">
        <v>11</v>
      </c>
      <c r="G58" s="506">
        <v>201844</v>
      </c>
      <c r="H58" s="513">
        <v>22349</v>
      </c>
      <c r="I58" s="208">
        <v>9.031455546109445</v>
      </c>
      <c r="J58" s="528">
        <v>1</v>
      </c>
      <c r="K58" s="158"/>
    </row>
    <row r="59" spans="1:11" ht="15">
      <c r="A59" s="105">
        <v>55</v>
      </c>
      <c r="B59" s="213" t="s">
        <v>248</v>
      </c>
      <c r="C59" s="164">
        <v>40641</v>
      </c>
      <c r="D59" s="242" t="s">
        <v>118</v>
      </c>
      <c r="E59" s="241">
        <v>22</v>
      </c>
      <c r="F59" s="241">
        <v>2</v>
      </c>
      <c r="G59" s="191">
        <f>117137.25+59106.5</f>
        <v>176243.75</v>
      </c>
      <c r="H59" s="177">
        <f>8901+4531</f>
        <v>13432</v>
      </c>
      <c r="I59" s="210">
        <f>G59/H59</f>
        <v>13.121184484812389</v>
      </c>
      <c r="J59" s="268"/>
      <c r="K59" s="158"/>
    </row>
    <row r="60" spans="1:11" ht="15">
      <c r="A60" s="105">
        <v>56</v>
      </c>
      <c r="B60" s="205" t="s">
        <v>199</v>
      </c>
      <c r="C60" s="164">
        <v>40613</v>
      </c>
      <c r="D60" s="242" t="s">
        <v>169</v>
      </c>
      <c r="E60" s="241">
        <v>25</v>
      </c>
      <c r="F60" s="241">
        <v>6</v>
      </c>
      <c r="G60" s="186">
        <v>176228.5</v>
      </c>
      <c r="H60" s="178">
        <v>21726</v>
      </c>
      <c r="I60" s="206">
        <f>G60/H60</f>
        <v>8.111410291816258</v>
      </c>
      <c r="J60" s="268">
        <v>1</v>
      </c>
      <c r="K60" s="158"/>
    </row>
    <row r="61" spans="1:11" ht="15">
      <c r="A61" s="105">
        <v>57</v>
      </c>
      <c r="B61" s="211" t="s">
        <v>232</v>
      </c>
      <c r="C61" s="161">
        <v>40634</v>
      </c>
      <c r="D61" s="232" t="s">
        <v>25</v>
      </c>
      <c r="E61" s="231">
        <v>44</v>
      </c>
      <c r="F61" s="231">
        <v>3</v>
      </c>
      <c r="G61" s="202">
        <v>172408.25</v>
      </c>
      <c r="H61" s="179">
        <v>18837</v>
      </c>
      <c r="I61" s="215">
        <f>+G61/H61</f>
        <v>9.152638424377555</v>
      </c>
      <c r="J61" s="268">
        <v>1</v>
      </c>
      <c r="K61" s="158"/>
    </row>
    <row r="62" spans="1:11" ht="15">
      <c r="A62" s="105">
        <v>58</v>
      </c>
      <c r="B62" s="213" t="s">
        <v>239</v>
      </c>
      <c r="C62" s="175">
        <v>40613</v>
      </c>
      <c r="D62" s="242" t="s">
        <v>118</v>
      </c>
      <c r="E62" s="247">
        <v>22</v>
      </c>
      <c r="F62" s="247">
        <v>5</v>
      </c>
      <c r="G62" s="191">
        <f>116753+45641.5+1507+3664+4533</f>
        <v>172098.5</v>
      </c>
      <c r="H62" s="177">
        <f>8727+3759+162+393+667</f>
        <v>13708</v>
      </c>
      <c r="I62" s="210">
        <f>G62/H62</f>
        <v>12.554603151444413</v>
      </c>
      <c r="J62" s="268"/>
      <c r="K62" s="158"/>
    </row>
    <row r="63" spans="1:11" ht="15">
      <c r="A63" s="105">
        <v>59</v>
      </c>
      <c r="B63" s="205" t="s">
        <v>210</v>
      </c>
      <c r="C63" s="164">
        <v>40620</v>
      </c>
      <c r="D63" s="242" t="s">
        <v>118</v>
      </c>
      <c r="E63" s="241">
        <v>18</v>
      </c>
      <c r="F63" s="241">
        <v>5</v>
      </c>
      <c r="G63" s="191">
        <f>39453.5+44225+30459.5+23462+13989</f>
        <v>151589</v>
      </c>
      <c r="H63" s="177">
        <f>5345+6302+4080+3427+1964</f>
        <v>21118</v>
      </c>
      <c r="I63" s="210">
        <f>G63/H63</f>
        <v>7.1781892224642485</v>
      </c>
      <c r="J63" s="268">
        <v>1</v>
      </c>
      <c r="K63" s="158"/>
    </row>
    <row r="64" spans="1:11" ht="15">
      <c r="A64" s="105">
        <v>60</v>
      </c>
      <c r="B64" s="456" t="s">
        <v>208</v>
      </c>
      <c r="C64" s="432">
        <v>40592</v>
      </c>
      <c r="D64" s="434" t="s">
        <v>27</v>
      </c>
      <c r="E64" s="435">
        <v>68</v>
      </c>
      <c r="F64" s="435">
        <v>5</v>
      </c>
      <c r="G64" s="194">
        <v>148300</v>
      </c>
      <c r="H64" s="180">
        <v>15302</v>
      </c>
      <c r="I64" s="208">
        <v>9.691543589073325</v>
      </c>
      <c r="J64" s="528">
        <v>1</v>
      </c>
      <c r="K64" s="158"/>
    </row>
    <row r="65" spans="1:11" ht="15">
      <c r="A65" s="105">
        <v>61</v>
      </c>
      <c r="B65" s="455" t="s">
        <v>233</v>
      </c>
      <c r="C65" s="432">
        <v>40634</v>
      </c>
      <c r="D65" s="431" t="s">
        <v>227</v>
      </c>
      <c r="E65" s="433">
        <v>1</v>
      </c>
      <c r="F65" s="433">
        <v>3</v>
      </c>
      <c r="G65" s="436">
        <v>115340</v>
      </c>
      <c r="H65" s="437">
        <v>11534</v>
      </c>
      <c r="I65" s="208">
        <f>+G65/H65</f>
        <v>10</v>
      </c>
      <c r="J65" s="268"/>
      <c r="K65" s="158"/>
    </row>
    <row r="66" spans="1:11" ht="15">
      <c r="A66" s="105">
        <v>62</v>
      </c>
      <c r="B66" s="547" t="s">
        <v>245</v>
      </c>
      <c r="C66" s="161">
        <v>40641</v>
      </c>
      <c r="D66" s="245" t="s">
        <v>104</v>
      </c>
      <c r="E66" s="532" t="s">
        <v>236</v>
      </c>
      <c r="F66" s="532" t="s">
        <v>260</v>
      </c>
      <c r="G66" s="194">
        <v>110489</v>
      </c>
      <c r="H66" s="180">
        <v>12759</v>
      </c>
      <c r="I66" s="212">
        <f>+G66/H66</f>
        <v>8.659691198369778</v>
      </c>
      <c r="J66" s="268"/>
      <c r="K66" s="158"/>
    </row>
    <row r="67" spans="1:11" ht="15">
      <c r="A67" s="105">
        <v>63</v>
      </c>
      <c r="B67" s="205" t="s">
        <v>119</v>
      </c>
      <c r="C67" s="164">
        <v>40557</v>
      </c>
      <c r="D67" s="242" t="s">
        <v>169</v>
      </c>
      <c r="E67" s="241">
        <v>7</v>
      </c>
      <c r="F67" s="241">
        <v>10</v>
      </c>
      <c r="G67" s="186">
        <v>101310</v>
      </c>
      <c r="H67" s="178">
        <v>7666</v>
      </c>
      <c r="I67" s="206">
        <f>G67/H67</f>
        <v>13.215496999739107</v>
      </c>
      <c r="J67" s="268"/>
      <c r="K67" s="158"/>
    </row>
    <row r="68" spans="1:11" ht="15">
      <c r="A68" s="105">
        <v>64</v>
      </c>
      <c r="B68" s="207" t="s">
        <v>89</v>
      </c>
      <c r="C68" s="161">
        <v>40543</v>
      </c>
      <c r="D68" s="244" t="s">
        <v>17</v>
      </c>
      <c r="E68" s="243">
        <v>20</v>
      </c>
      <c r="F68" s="243">
        <v>10</v>
      </c>
      <c r="G68" s="197">
        <v>97861</v>
      </c>
      <c r="H68" s="178">
        <v>10437</v>
      </c>
      <c r="I68" s="212">
        <f>IF(G68&lt;&gt;0,G68/H68,"")</f>
        <v>9.376353358244707</v>
      </c>
      <c r="J68" s="268"/>
      <c r="K68" s="158"/>
    </row>
    <row r="69" spans="1:11" ht="15">
      <c r="A69" s="105">
        <v>65</v>
      </c>
      <c r="B69" s="520" t="s">
        <v>128</v>
      </c>
      <c r="C69" s="428">
        <v>40564</v>
      </c>
      <c r="D69" s="502" t="s">
        <v>212</v>
      </c>
      <c r="E69" s="503">
        <v>13</v>
      </c>
      <c r="F69" s="503">
        <v>7</v>
      </c>
      <c r="G69" s="191">
        <v>87903</v>
      </c>
      <c r="H69" s="177">
        <v>7337</v>
      </c>
      <c r="I69" s="208">
        <v>11.980782336104674</v>
      </c>
      <c r="J69" s="530"/>
      <c r="K69" s="158"/>
    </row>
    <row r="70" spans="1:11" ht="15">
      <c r="A70" s="105">
        <v>66</v>
      </c>
      <c r="B70" s="460" t="s">
        <v>209</v>
      </c>
      <c r="C70" s="448">
        <v>40620</v>
      </c>
      <c r="D70" s="447" t="s">
        <v>103</v>
      </c>
      <c r="E70" s="449">
        <v>15</v>
      </c>
      <c r="F70" s="449">
        <v>4</v>
      </c>
      <c r="G70" s="452">
        <v>81467</v>
      </c>
      <c r="H70" s="453">
        <v>6104</v>
      </c>
      <c r="I70" s="208">
        <v>13.346494102228046</v>
      </c>
      <c r="J70" s="527"/>
      <c r="K70" s="158"/>
    </row>
    <row r="71" spans="1:11" ht="15">
      <c r="A71" s="105">
        <v>67</v>
      </c>
      <c r="B71" s="460" t="s">
        <v>86</v>
      </c>
      <c r="C71" s="448">
        <v>40543</v>
      </c>
      <c r="D71" s="447" t="s">
        <v>169</v>
      </c>
      <c r="E71" s="449">
        <v>2</v>
      </c>
      <c r="F71" s="449">
        <v>12</v>
      </c>
      <c r="G71" s="450">
        <v>68308.5</v>
      </c>
      <c r="H71" s="451">
        <v>5379</v>
      </c>
      <c r="I71" s="208">
        <v>12.699107640825432</v>
      </c>
      <c r="J71" s="527"/>
      <c r="K71" s="158"/>
    </row>
    <row r="72" spans="1:11" ht="15">
      <c r="A72" s="105">
        <v>68</v>
      </c>
      <c r="B72" s="457" t="s">
        <v>188</v>
      </c>
      <c r="C72" s="428">
        <v>40543</v>
      </c>
      <c r="D72" s="429" t="s">
        <v>31</v>
      </c>
      <c r="E72" s="430">
        <v>37</v>
      </c>
      <c r="F72" s="430">
        <v>10</v>
      </c>
      <c r="G72" s="514">
        <v>68174.5</v>
      </c>
      <c r="H72" s="499">
        <v>9602</v>
      </c>
      <c r="I72" s="208">
        <v>7.100031243490939</v>
      </c>
      <c r="J72" s="528">
        <v>1</v>
      </c>
      <c r="K72" s="158"/>
    </row>
    <row r="73" spans="1:11" ht="15">
      <c r="A73" s="105">
        <v>69</v>
      </c>
      <c r="B73" s="213" t="s">
        <v>280</v>
      </c>
      <c r="C73" s="164">
        <v>40648</v>
      </c>
      <c r="D73" s="242" t="s">
        <v>118</v>
      </c>
      <c r="E73" s="241">
        <v>28</v>
      </c>
      <c r="F73" s="241">
        <v>1</v>
      </c>
      <c r="G73" s="191">
        <f>67573</f>
        <v>67573</v>
      </c>
      <c r="H73" s="177">
        <f>6695</f>
        <v>6695</v>
      </c>
      <c r="I73" s="210">
        <f>G73/H73</f>
        <v>10.093054518297237</v>
      </c>
      <c r="J73" s="268">
        <v>1</v>
      </c>
      <c r="K73" s="158"/>
    </row>
    <row r="74" spans="1:11" ht="15">
      <c r="A74" s="105">
        <v>70</v>
      </c>
      <c r="B74" s="213" t="s">
        <v>223</v>
      </c>
      <c r="C74" s="164">
        <v>40627</v>
      </c>
      <c r="D74" s="242" t="s">
        <v>118</v>
      </c>
      <c r="E74" s="241">
        <v>28</v>
      </c>
      <c r="F74" s="241">
        <v>4</v>
      </c>
      <c r="G74" s="191">
        <f>43236.5+18123.5+2183+2517</f>
        <v>66060</v>
      </c>
      <c r="H74" s="177">
        <f>4478+2475+287+545</f>
        <v>7785</v>
      </c>
      <c r="I74" s="210">
        <f>G74/H74</f>
        <v>8.485549132947977</v>
      </c>
      <c r="J74" s="268"/>
      <c r="K74" s="158"/>
    </row>
    <row r="75" spans="1:11" ht="15">
      <c r="A75" s="105">
        <v>71</v>
      </c>
      <c r="B75" s="524" t="s">
        <v>149</v>
      </c>
      <c r="C75" s="428">
        <v>40585</v>
      </c>
      <c r="D75" s="502" t="s">
        <v>23</v>
      </c>
      <c r="E75" s="503">
        <v>13</v>
      </c>
      <c r="F75" s="503">
        <v>2</v>
      </c>
      <c r="G75" s="514">
        <v>60408</v>
      </c>
      <c r="H75" s="519">
        <v>4591</v>
      </c>
      <c r="I75" s="208">
        <v>13.157917664996733</v>
      </c>
      <c r="J75" s="530"/>
      <c r="K75" s="158"/>
    </row>
    <row r="76" spans="1:11" ht="15">
      <c r="A76" s="105">
        <v>72</v>
      </c>
      <c r="B76" s="211" t="s">
        <v>281</v>
      </c>
      <c r="C76" s="161">
        <v>40648</v>
      </c>
      <c r="D76" s="245" t="s">
        <v>27</v>
      </c>
      <c r="E76" s="231">
        <v>10</v>
      </c>
      <c r="F76" s="231">
        <v>1</v>
      </c>
      <c r="G76" s="194">
        <v>55701</v>
      </c>
      <c r="H76" s="180">
        <v>3851</v>
      </c>
      <c r="I76" s="212">
        <f>+G76/H76</f>
        <v>14.464035315502468</v>
      </c>
      <c r="J76" s="268"/>
      <c r="K76" s="158"/>
    </row>
    <row r="77" spans="1:11" ht="15">
      <c r="A77" s="105">
        <v>73</v>
      </c>
      <c r="B77" s="213" t="s">
        <v>190</v>
      </c>
      <c r="C77" s="164">
        <v>40606</v>
      </c>
      <c r="D77" s="242" t="s">
        <v>118</v>
      </c>
      <c r="E77" s="241">
        <v>6</v>
      </c>
      <c r="F77" s="241">
        <v>6</v>
      </c>
      <c r="G77" s="191">
        <f>23509.5+4775.5+1638+419+8818.5+506</f>
        <v>39666.5</v>
      </c>
      <c r="H77" s="177">
        <f>1642+339+312+83+823+52</f>
        <v>3251</v>
      </c>
      <c r="I77" s="210">
        <f>G77/H77</f>
        <v>12.201322669947709</v>
      </c>
      <c r="J77" s="268"/>
      <c r="K77" s="158"/>
    </row>
    <row r="78" spans="1:11" ht="15">
      <c r="A78" s="105">
        <v>74</v>
      </c>
      <c r="B78" s="455" t="s">
        <v>235</v>
      </c>
      <c r="C78" s="432">
        <v>40634</v>
      </c>
      <c r="D78" s="431" t="s">
        <v>228</v>
      </c>
      <c r="E78" s="433">
        <v>10</v>
      </c>
      <c r="F78" s="433">
        <v>3</v>
      </c>
      <c r="G78" s="436">
        <v>34018</v>
      </c>
      <c r="H78" s="437">
        <v>5548</v>
      </c>
      <c r="I78" s="208">
        <v>5.733007733007733</v>
      </c>
      <c r="J78" s="268">
        <v>1</v>
      </c>
      <c r="K78" s="158"/>
    </row>
    <row r="79" spans="1:11" ht="15">
      <c r="A79" s="105">
        <v>75</v>
      </c>
      <c r="B79" s="213" t="s">
        <v>234</v>
      </c>
      <c r="C79" s="164">
        <v>40634</v>
      </c>
      <c r="D79" s="242" t="s">
        <v>118</v>
      </c>
      <c r="E79" s="241">
        <v>15</v>
      </c>
      <c r="F79" s="241">
        <v>3</v>
      </c>
      <c r="G79" s="191">
        <f>24849+8396+642</f>
        <v>33887</v>
      </c>
      <c r="H79" s="177">
        <f>1900+772+80</f>
        <v>2752</v>
      </c>
      <c r="I79" s="210">
        <f>G79/H79</f>
        <v>12.31359011627907</v>
      </c>
      <c r="J79" s="268"/>
      <c r="K79" s="158"/>
    </row>
    <row r="80" spans="1:11" ht="15">
      <c r="A80" s="105">
        <v>76</v>
      </c>
      <c r="B80" s="520" t="s">
        <v>200</v>
      </c>
      <c r="C80" s="428">
        <v>40606</v>
      </c>
      <c r="D80" s="502" t="s">
        <v>26</v>
      </c>
      <c r="E80" s="503">
        <v>30</v>
      </c>
      <c r="F80" s="503">
        <v>4</v>
      </c>
      <c r="G80" s="514">
        <v>32873.5</v>
      </c>
      <c r="H80" s="499">
        <v>5254</v>
      </c>
      <c r="I80" s="208">
        <v>6.25685192234488</v>
      </c>
      <c r="J80" s="530">
        <v>1</v>
      </c>
      <c r="K80" s="158"/>
    </row>
    <row r="81" spans="1:11" ht="15">
      <c r="A81" s="105">
        <v>77</v>
      </c>
      <c r="B81" s="205" t="s">
        <v>120</v>
      </c>
      <c r="C81" s="164">
        <v>40557</v>
      </c>
      <c r="D81" s="242" t="s">
        <v>103</v>
      </c>
      <c r="E81" s="241">
        <v>12</v>
      </c>
      <c r="F81" s="241">
        <v>7</v>
      </c>
      <c r="G81" s="234">
        <v>25081</v>
      </c>
      <c r="H81" s="235">
        <v>2782</v>
      </c>
      <c r="I81" s="267">
        <v>9.015456506110711</v>
      </c>
      <c r="J81" s="268"/>
      <c r="K81" s="158"/>
    </row>
    <row r="82" spans="1:11" ht="15">
      <c r="A82" s="105">
        <v>78</v>
      </c>
      <c r="B82" s="525" t="s">
        <v>102</v>
      </c>
      <c r="C82" s="501">
        <v>40550</v>
      </c>
      <c r="D82" s="500" t="s">
        <v>118</v>
      </c>
      <c r="E82" s="568">
        <v>2</v>
      </c>
      <c r="F82" s="568">
        <v>8</v>
      </c>
      <c r="G82" s="303">
        <v>18416</v>
      </c>
      <c r="H82" s="307">
        <v>2118</v>
      </c>
      <c r="I82" s="208">
        <v>8.694995278564683</v>
      </c>
      <c r="J82" s="529"/>
      <c r="K82" s="158"/>
    </row>
    <row r="83" spans="1:11" ht="15">
      <c r="A83" s="105">
        <v>79</v>
      </c>
      <c r="B83" s="522" t="s">
        <v>211</v>
      </c>
      <c r="C83" s="509">
        <v>40620</v>
      </c>
      <c r="D83" s="508" t="s">
        <v>31</v>
      </c>
      <c r="E83" s="510">
        <v>1</v>
      </c>
      <c r="F83" s="510">
        <v>4</v>
      </c>
      <c r="G83" s="511">
        <v>14205</v>
      </c>
      <c r="H83" s="512">
        <v>1576</v>
      </c>
      <c r="I83" s="208">
        <v>9.013324873096447</v>
      </c>
      <c r="J83" s="527">
        <v>1</v>
      </c>
      <c r="K83" s="158"/>
    </row>
    <row r="84" spans="1:11" ht="15">
      <c r="A84" s="105">
        <v>80</v>
      </c>
      <c r="B84" s="524" t="s">
        <v>136</v>
      </c>
      <c r="C84" s="516">
        <v>40564</v>
      </c>
      <c r="D84" s="515" t="s">
        <v>169</v>
      </c>
      <c r="E84" s="517">
        <v>1</v>
      </c>
      <c r="F84" s="517">
        <v>7</v>
      </c>
      <c r="G84" s="518">
        <v>13072</v>
      </c>
      <c r="H84" s="519">
        <v>1607</v>
      </c>
      <c r="I84" s="208">
        <v>8.134411947728687</v>
      </c>
      <c r="J84" s="530"/>
      <c r="K84" s="158"/>
    </row>
    <row r="85" spans="1:11" ht="15">
      <c r="A85" s="105">
        <v>81</v>
      </c>
      <c r="B85" s="524" t="s">
        <v>215</v>
      </c>
      <c r="C85" s="516">
        <v>40564</v>
      </c>
      <c r="D85" s="515" t="s">
        <v>169</v>
      </c>
      <c r="E85" s="517">
        <v>3</v>
      </c>
      <c r="F85" s="517">
        <v>5</v>
      </c>
      <c r="G85" s="518">
        <v>12546.5</v>
      </c>
      <c r="H85" s="519">
        <v>891</v>
      </c>
      <c r="I85" s="208">
        <v>14.081369248035914</v>
      </c>
      <c r="J85" s="530"/>
      <c r="K85" s="158"/>
    </row>
    <row r="86" spans="1:11" ht="15">
      <c r="A86" s="105">
        <v>82</v>
      </c>
      <c r="B86" s="205" t="s">
        <v>224</v>
      </c>
      <c r="C86" s="164">
        <v>40627</v>
      </c>
      <c r="D86" s="242" t="s">
        <v>169</v>
      </c>
      <c r="E86" s="241">
        <v>2</v>
      </c>
      <c r="F86" s="241">
        <v>4</v>
      </c>
      <c r="G86" s="186">
        <v>10235</v>
      </c>
      <c r="H86" s="178">
        <v>1167</v>
      </c>
      <c r="I86" s="206">
        <f>G86/H86</f>
        <v>8.770351328191945</v>
      </c>
      <c r="J86" s="268"/>
      <c r="K86" s="158"/>
    </row>
    <row r="87" spans="1:11" ht="15">
      <c r="A87" s="105">
        <v>83</v>
      </c>
      <c r="B87" s="522" t="s">
        <v>189</v>
      </c>
      <c r="C87" s="509">
        <v>40592</v>
      </c>
      <c r="D87" s="508" t="s">
        <v>31</v>
      </c>
      <c r="E87" s="510">
        <v>1</v>
      </c>
      <c r="F87" s="510">
        <v>4</v>
      </c>
      <c r="G87" s="511">
        <v>8796</v>
      </c>
      <c r="H87" s="512">
        <v>1202</v>
      </c>
      <c r="I87" s="208">
        <v>7.3178036605657235</v>
      </c>
      <c r="J87" s="527">
        <v>1</v>
      </c>
      <c r="K87" s="158"/>
    </row>
    <row r="88" spans="1:11" ht="15">
      <c r="A88" s="105">
        <v>84</v>
      </c>
      <c r="B88" s="213" t="s">
        <v>193</v>
      </c>
      <c r="C88" s="164">
        <v>40606</v>
      </c>
      <c r="D88" s="242" t="s">
        <v>118</v>
      </c>
      <c r="E88" s="241">
        <v>3</v>
      </c>
      <c r="F88" s="241">
        <v>5</v>
      </c>
      <c r="G88" s="191">
        <f>3944+1062+155+222+677</f>
        <v>6060</v>
      </c>
      <c r="H88" s="177">
        <f>424+116+24+26+92</f>
        <v>682</v>
      </c>
      <c r="I88" s="210">
        <f>G88/H88</f>
        <v>8.885630498533724</v>
      </c>
      <c r="J88" s="268"/>
      <c r="K88" s="158"/>
    </row>
    <row r="89" spans="1:11" ht="15">
      <c r="A89" s="105">
        <v>85</v>
      </c>
      <c r="B89" s="526" t="s">
        <v>225</v>
      </c>
      <c r="C89" s="432">
        <v>40627</v>
      </c>
      <c r="D89" s="431" t="s">
        <v>17</v>
      </c>
      <c r="E89" s="433">
        <v>2</v>
      </c>
      <c r="F89" s="433">
        <v>2</v>
      </c>
      <c r="G89" s="197">
        <v>2503</v>
      </c>
      <c r="H89" s="499">
        <v>174</v>
      </c>
      <c r="I89" s="208">
        <v>14.385057471264368</v>
      </c>
      <c r="J89" s="528"/>
      <c r="K89" s="158"/>
    </row>
    <row r="90" spans="1:11" ht="15.75" thickBot="1">
      <c r="A90" s="105">
        <v>86</v>
      </c>
      <c r="B90" s="569" t="s">
        <v>246</v>
      </c>
      <c r="C90" s="570">
        <v>40641</v>
      </c>
      <c r="D90" s="571" t="s">
        <v>169</v>
      </c>
      <c r="E90" s="572">
        <v>2</v>
      </c>
      <c r="F90" s="572">
        <v>2</v>
      </c>
      <c r="G90" s="573">
        <v>2117</v>
      </c>
      <c r="H90" s="574">
        <v>141</v>
      </c>
      <c r="I90" s="575">
        <f>G90/H90</f>
        <v>15.01418439716312</v>
      </c>
      <c r="J90" s="268"/>
      <c r="K90" s="158"/>
    </row>
    <row r="91" spans="2:9" ht="12.75">
      <c r="B91" s="75"/>
      <c r="C91" s="150"/>
      <c r="D91" s="76"/>
      <c r="E91" s="80"/>
      <c r="F91" s="80"/>
      <c r="G91" s="77"/>
      <c r="H91" s="78"/>
      <c r="I91" s="419"/>
    </row>
    <row r="92" spans="1:52" s="116" customFormat="1" ht="21.75" customHeight="1">
      <c r="A92" s="606" t="s">
        <v>55</v>
      </c>
      <c r="B92" s="607"/>
      <c r="C92" s="607"/>
      <c r="D92" s="607"/>
      <c r="E92" s="607"/>
      <c r="F92" s="607"/>
      <c r="G92" s="607"/>
      <c r="H92" s="607"/>
      <c r="I92" s="607"/>
      <c r="J92" s="607"/>
      <c r="K92" s="607"/>
      <c r="L92" s="607"/>
      <c r="M92" s="607"/>
      <c r="N92" s="607"/>
      <c r="O92" s="120"/>
      <c r="P92" s="121"/>
      <c r="Q92" s="121"/>
      <c r="R92" s="121"/>
      <c r="S92" s="121"/>
      <c r="T92" s="121"/>
      <c r="U92" s="121"/>
      <c r="V92" s="121"/>
      <c r="W92" s="139"/>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36"/>
    </row>
    <row r="93" spans="1:256" s="116" customFormat="1" ht="18" customHeight="1">
      <c r="A93" s="606" t="s">
        <v>28</v>
      </c>
      <c r="B93" s="607"/>
      <c r="C93" s="607"/>
      <c r="D93" s="607"/>
      <c r="E93" s="607"/>
      <c r="F93" s="607"/>
      <c r="G93" s="607"/>
      <c r="H93" s="607"/>
      <c r="I93" s="607"/>
      <c r="J93" s="607"/>
      <c r="K93" s="607"/>
      <c r="L93" s="607"/>
      <c r="M93" s="607"/>
      <c r="N93" s="607"/>
      <c r="O93" s="120"/>
      <c r="P93" s="121"/>
      <c r="Q93" s="121"/>
      <c r="R93" s="121"/>
      <c r="S93" s="121"/>
      <c r="T93" s="121"/>
      <c r="U93" s="121"/>
      <c r="V93" s="121"/>
      <c r="W93" s="141"/>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1"/>
      <c r="AT93" s="142"/>
      <c r="AU93" s="142"/>
      <c r="AV93" s="142"/>
      <c r="AW93" s="142"/>
      <c r="AX93" s="142"/>
      <c r="AY93" s="142"/>
      <c r="AZ93" s="137"/>
      <c r="BA93" s="118"/>
      <c r="BB93" s="118"/>
      <c r="BC93" s="118"/>
      <c r="BD93" s="118"/>
      <c r="BE93" s="118"/>
      <c r="BF93" s="118"/>
      <c r="BG93" s="118"/>
      <c r="BH93" s="118"/>
      <c r="BI93" s="118"/>
      <c r="BJ93" s="118"/>
      <c r="BK93" s="118"/>
      <c r="BL93" s="118"/>
      <c r="BM93" s="118"/>
      <c r="BN93" s="118"/>
      <c r="BO93" s="117"/>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7"/>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7"/>
      <c r="DH93" s="118"/>
      <c r="DI93" s="118"/>
      <c r="DJ93" s="118"/>
      <c r="DK93" s="118"/>
      <c r="DL93" s="118"/>
      <c r="DM93" s="118"/>
      <c r="DN93" s="118"/>
      <c r="DO93" s="118"/>
      <c r="DP93" s="118"/>
      <c r="DQ93" s="118"/>
      <c r="DR93" s="118"/>
      <c r="DS93" s="118"/>
      <c r="DT93" s="118"/>
      <c r="DU93" s="118"/>
      <c r="DV93" s="118"/>
      <c r="DW93" s="118"/>
      <c r="DX93" s="118"/>
      <c r="DY93" s="118"/>
      <c r="DZ93" s="118"/>
      <c r="EA93" s="118"/>
      <c r="EB93" s="118"/>
      <c r="EC93" s="117"/>
      <c r="ED93" s="118"/>
      <c r="EE93" s="118"/>
      <c r="EF93" s="118"/>
      <c r="EG93" s="118"/>
      <c r="EH93" s="118"/>
      <c r="EI93" s="118"/>
      <c r="EJ93" s="118"/>
      <c r="EK93" s="118"/>
      <c r="EL93" s="118"/>
      <c r="EM93" s="118"/>
      <c r="EN93" s="118"/>
      <c r="EO93" s="118"/>
      <c r="EP93" s="118"/>
      <c r="EQ93" s="118"/>
      <c r="ER93" s="118"/>
      <c r="ES93" s="118"/>
      <c r="ET93" s="118"/>
      <c r="EU93" s="118"/>
      <c r="EV93" s="118"/>
      <c r="EW93" s="118"/>
      <c r="EX93" s="118"/>
      <c r="EY93" s="117"/>
      <c r="EZ93" s="118"/>
      <c r="FA93" s="118"/>
      <c r="FB93" s="118"/>
      <c r="FC93" s="118"/>
      <c r="FD93" s="118"/>
      <c r="FE93" s="118"/>
      <c r="FF93" s="118"/>
      <c r="FG93" s="118"/>
      <c r="FH93" s="118"/>
      <c r="FI93" s="118"/>
      <c r="FJ93" s="118"/>
      <c r="FK93" s="118"/>
      <c r="FL93" s="118"/>
      <c r="FM93" s="118"/>
      <c r="FN93" s="118"/>
      <c r="FO93" s="118"/>
      <c r="FP93" s="118"/>
      <c r="FQ93" s="118"/>
      <c r="FR93" s="118"/>
      <c r="FS93" s="118"/>
      <c r="FT93" s="118"/>
      <c r="FU93" s="117"/>
      <c r="FV93" s="118"/>
      <c r="FW93" s="118"/>
      <c r="FX93" s="118"/>
      <c r="FY93" s="118"/>
      <c r="FZ93" s="118"/>
      <c r="GA93" s="118"/>
      <c r="GB93" s="118"/>
      <c r="GC93" s="118"/>
      <c r="GD93" s="118"/>
      <c r="GE93" s="118"/>
      <c r="GF93" s="118"/>
      <c r="GG93" s="118"/>
      <c r="GH93" s="118"/>
      <c r="GI93" s="118"/>
      <c r="GJ93" s="118"/>
      <c r="GK93" s="118"/>
      <c r="GL93" s="118"/>
      <c r="GM93" s="118"/>
      <c r="GN93" s="118"/>
      <c r="GO93" s="118"/>
      <c r="GP93" s="118"/>
      <c r="GQ93" s="117"/>
      <c r="GR93" s="118"/>
      <c r="GS93" s="118"/>
      <c r="GT93" s="118"/>
      <c r="GU93" s="118"/>
      <c r="GV93" s="118"/>
      <c r="GW93" s="118"/>
      <c r="GX93" s="118"/>
      <c r="GY93" s="118"/>
      <c r="GZ93" s="118"/>
      <c r="HA93" s="118"/>
      <c r="HB93" s="118"/>
      <c r="HC93" s="118"/>
      <c r="HD93" s="118"/>
      <c r="HE93" s="118"/>
      <c r="HF93" s="118"/>
      <c r="HG93" s="118"/>
      <c r="HH93" s="118"/>
      <c r="HI93" s="118"/>
      <c r="HJ93" s="118"/>
      <c r="HK93" s="118"/>
      <c r="HL93" s="118"/>
      <c r="HM93" s="117"/>
      <c r="HN93" s="118"/>
      <c r="HO93" s="118"/>
      <c r="HP93" s="118"/>
      <c r="HQ93" s="118"/>
      <c r="HR93" s="118"/>
      <c r="HS93" s="118"/>
      <c r="HT93" s="118"/>
      <c r="HU93" s="118"/>
      <c r="HV93" s="118"/>
      <c r="HW93" s="118"/>
      <c r="HX93" s="118"/>
      <c r="HY93" s="118"/>
      <c r="HZ93" s="118"/>
      <c r="IA93" s="118"/>
      <c r="IB93" s="118"/>
      <c r="IC93" s="118"/>
      <c r="ID93" s="118"/>
      <c r="IE93" s="118"/>
      <c r="IF93" s="118"/>
      <c r="IG93" s="118"/>
      <c r="IH93" s="118"/>
      <c r="II93" s="117"/>
      <c r="IJ93" s="118"/>
      <c r="IK93" s="118"/>
      <c r="IL93" s="118"/>
      <c r="IM93" s="118"/>
      <c r="IN93" s="118"/>
      <c r="IO93" s="118"/>
      <c r="IP93" s="118"/>
      <c r="IQ93" s="118"/>
      <c r="IR93" s="118"/>
      <c r="IS93" s="118"/>
      <c r="IT93" s="118"/>
      <c r="IU93" s="118"/>
      <c r="IV93" s="118"/>
    </row>
    <row r="94" spans="1:256" s="116" customFormat="1" ht="18" customHeight="1">
      <c r="A94" s="607"/>
      <c r="B94" s="607"/>
      <c r="C94" s="607"/>
      <c r="D94" s="607"/>
      <c r="E94" s="607"/>
      <c r="F94" s="607"/>
      <c r="G94" s="607"/>
      <c r="H94" s="607"/>
      <c r="I94" s="607"/>
      <c r="J94" s="607"/>
      <c r="K94" s="607"/>
      <c r="L94" s="607"/>
      <c r="M94" s="607"/>
      <c r="N94" s="607"/>
      <c r="O94" s="120"/>
      <c r="P94" s="121"/>
      <c r="Q94" s="121"/>
      <c r="R94" s="121"/>
      <c r="S94" s="121"/>
      <c r="T94" s="121"/>
      <c r="U94" s="121"/>
      <c r="V94" s="121"/>
      <c r="W94" s="141"/>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1"/>
      <c r="AT94" s="142"/>
      <c r="AU94" s="142"/>
      <c r="AV94" s="142"/>
      <c r="AW94" s="142"/>
      <c r="AX94" s="142"/>
      <c r="AY94" s="142"/>
      <c r="AZ94" s="137"/>
      <c r="BA94" s="118"/>
      <c r="BB94" s="118"/>
      <c r="BC94" s="118"/>
      <c r="BD94" s="118"/>
      <c r="BE94" s="118"/>
      <c r="BF94" s="118"/>
      <c r="BG94" s="118"/>
      <c r="BH94" s="118"/>
      <c r="BI94" s="118"/>
      <c r="BJ94" s="118"/>
      <c r="BK94" s="118"/>
      <c r="BL94" s="118"/>
      <c r="BM94" s="118"/>
      <c r="BN94" s="118"/>
      <c r="BO94" s="117"/>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7"/>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7"/>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7"/>
      <c r="ED94" s="118"/>
      <c r="EE94" s="118"/>
      <c r="EF94" s="118"/>
      <c r="EG94" s="118"/>
      <c r="EH94" s="118"/>
      <c r="EI94" s="118"/>
      <c r="EJ94" s="118"/>
      <c r="EK94" s="118"/>
      <c r="EL94" s="118"/>
      <c r="EM94" s="118"/>
      <c r="EN94" s="118"/>
      <c r="EO94" s="118"/>
      <c r="EP94" s="118"/>
      <c r="EQ94" s="118"/>
      <c r="ER94" s="118"/>
      <c r="ES94" s="118"/>
      <c r="ET94" s="118"/>
      <c r="EU94" s="118"/>
      <c r="EV94" s="118"/>
      <c r="EW94" s="118"/>
      <c r="EX94" s="118"/>
      <c r="EY94" s="117"/>
      <c r="EZ94" s="118"/>
      <c r="FA94" s="118"/>
      <c r="FB94" s="118"/>
      <c r="FC94" s="118"/>
      <c r="FD94" s="118"/>
      <c r="FE94" s="118"/>
      <c r="FF94" s="118"/>
      <c r="FG94" s="118"/>
      <c r="FH94" s="118"/>
      <c r="FI94" s="118"/>
      <c r="FJ94" s="118"/>
      <c r="FK94" s="118"/>
      <c r="FL94" s="118"/>
      <c r="FM94" s="118"/>
      <c r="FN94" s="118"/>
      <c r="FO94" s="118"/>
      <c r="FP94" s="118"/>
      <c r="FQ94" s="118"/>
      <c r="FR94" s="118"/>
      <c r="FS94" s="118"/>
      <c r="FT94" s="118"/>
      <c r="FU94" s="117"/>
      <c r="FV94" s="118"/>
      <c r="FW94" s="118"/>
      <c r="FX94" s="118"/>
      <c r="FY94" s="118"/>
      <c r="FZ94" s="118"/>
      <c r="GA94" s="118"/>
      <c r="GB94" s="118"/>
      <c r="GC94" s="118"/>
      <c r="GD94" s="118"/>
      <c r="GE94" s="118"/>
      <c r="GF94" s="118"/>
      <c r="GG94" s="118"/>
      <c r="GH94" s="118"/>
      <c r="GI94" s="118"/>
      <c r="GJ94" s="118"/>
      <c r="GK94" s="118"/>
      <c r="GL94" s="118"/>
      <c r="GM94" s="118"/>
      <c r="GN94" s="118"/>
      <c r="GO94" s="118"/>
      <c r="GP94" s="118"/>
      <c r="GQ94" s="117"/>
      <c r="GR94" s="118"/>
      <c r="GS94" s="118"/>
      <c r="GT94" s="118"/>
      <c r="GU94" s="118"/>
      <c r="GV94" s="118"/>
      <c r="GW94" s="118"/>
      <c r="GX94" s="118"/>
      <c r="GY94" s="118"/>
      <c r="GZ94" s="118"/>
      <c r="HA94" s="118"/>
      <c r="HB94" s="118"/>
      <c r="HC94" s="118"/>
      <c r="HD94" s="118"/>
      <c r="HE94" s="118"/>
      <c r="HF94" s="118"/>
      <c r="HG94" s="118"/>
      <c r="HH94" s="118"/>
      <c r="HI94" s="118"/>
      <c r="HJ94" s="118"/>
      <c r="HK94" s="118"/>
      <c r="HL94" s="118"/>
      <c r="HM94" s="117"/>
      <c r="HN94" s="118"/>
      <c r="HO94" s="118"/>
      <c r="HP94" s="118"/>
      <c r="HQ94" s="118"/>
      <c r="HR94" s="118"/>
      <c r="HS94" s="118"/>
      <c r="HT94" s="118"/>
      <c r="HU94" s="118"/>
      <c r="HV94" s="118"/>
      <c r="HW94" s="118"/>
      <c r="HX94" s="118"/>
      <c r="HY94" s="118"/>
      <c r="HZ94" s="118"/>
      <c r="IA94" s="118"/>
      <c r="IB94" s="118"/>
      <c r="IC94" s="118"/>
      <c r="ID94" s="118"/>
      <c r="IE94" s="118"/>
      <c r="IF94" s="118"/>
      <c r="IG94" s="118"/>
      <c r="IH94" s="118"/>
      <c r="II94" s="117"/>
      <c r="IJ94" s="118"/>
      <c r="IK94" s="118"/>
      <c r="IL94" s="118"/>
      <c r="IM94" s="118"/>
      <c r="IN94" s="118"/>
      <c r="IO94" s="118"/>
      <c r="IP94" s="118"/>
      <c r="IQ94" s="118"/>
      <c r="IR94" s="118"/>
      <c r="IS94" s="118"/>
      <c r="IT94" s="118"/>
      <c r="IU94" s="118"/>
      <c r="IV94" s="118"/>
    </row>
    <row r="95" spans="1:256" s="116" customFormat="1" ht="18" customHeight="1">
      <c r="A95" s="607"/>
      <c r="B95" s="607"/>
      <c r="C95" s="607"/>
      <c r="D95" s="607"/>
      <c r="E95" s="607"/>
      <c r="F95" s="607"/>
      <c r="G95" s="607"/>
      <c r="H95" s="607"/>
      <c r="I95" s="607"/>
      <c r="J95" s="607"/>
      <c r="K95" s="607"/>
      <c r="L95" s="607"/>
      <c r="M95" s="607"/>
      <c r="N95" s="607"/>
      <c r="O95" s="120"/>
      <c r="P95" s="121"/>
      <c r="Q95" s="121"/>
      <c r="R95" s="121"/>
      <c r="S95" s="121"/>
      <c r="T95" s="121"/>
      <c r="U95" s="121"/>
      <c r="V95" s="121"/>
      <c r="W95" s="141"/>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1"/>
      <c r="AT95" s="142"/>
      <c r="AU95" s="142"/>
      <c r="AV95" s="142"/>
      <c r="AW95" s="142"/>
      <c r="AX95" s="142"/>
      <c r="AY95" s="142"/>
      <c r="AZ95" s="137"/>
      <c r="BA95" s="118"/>
      <c r="BB95" s="118"/>
      <c r="BC95" s="118"/>
      <c r="BD95" s="118"/>
      <c r="BE95" s="118"/>
      <c r="BF95" s="118"/>
      <c r="BG95" s="118"/>
      <c r="BH95" s="118"/>
      <c r="BI95" s="118"/>
      <c r="BJ95" s="118"/>
      <c r="BK95" s="118"/>
      <c r="BL95" s="118"/>
      <c r="BM95" s="118"/>
      <c r="BN95" s="118"/>
      <c r="BO95" s="117"/>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7"/>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7"/>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7"/>
      <c r="ED95" s="118"/>
      <c r="EE95" s="118"/>
      <c r="EF95" s="118"/>
      <c r="EG95" s="118"/>
      <c r="EH95" s="118"/>
      <c r="EI95" s="118"/>
      <c r="EJ95" s="118"/>
      <c r="EK95" s="118"/>
      <c r="EL95" s="118"/>
      <c r="EM95" s="118"/>
      <c r="EN95" s="118"/>
      <c r="EO95" s="118"/>
      <c r="EP95" s="118"/>
      <c r="EQ95" s="118"/>
      <c r="ER95" s="118"/>
      <c r="ES95" s="118"/>
      <c r="ET95" s="118"/>
      <c r="EU95" s="118"/>
      <c r="EV95" s="118"/>
      <c r="EW95" s="118"/>
      <c r="EX95" s="118"/>
      <c r="EY95" s="117"/>
      <c r="EZ95" s="118"/>
      <c r="FA95" s="118"/>
      <c r="FB95" s="118"/>
      <c r="FC95" s="118"/>
      <c r="FD95" s="118"/>
      <c r="FE95" s="118"/>
      <c r="FF95" s="118"/>
      <c r="FG95" s="118"/>
      <c r="FH95" s="118"/>
      <c r="FI95" s="118"/>
      <c r="FJ95" s="118"/>
      <c r="FK95" s="118"/>
      <c r="FL95" s="118"/>
      <c r="FM95" s="118"/>
      <c r="FN95" s="118"/>
      <c r="FO95" s="118"/>
      <c r="FP95" s="118"/>
      <c r="FQ95" s="118"/>
      <c r="FR95" s="118"/>
      <c r="FS95" s="118"/>
      <c r="FT95" s="118"/>
      <c r="FU95" s="117"/>
      <c r="FV95" s="118"/>
      <c r="FW95" s="118"/>
      <c r="FX95" s="118"/>
      <c r="FY95" s="118"/>
      <c r="FZ95" s="118"/>
      <c r="GA95" s="118"/>
      <c r="GB95" s="118"/>
      <c r="GC95" s="118"/>
      <c r="GD95" s="118"/>
      <c r="GE95" s="118"/>
      <c r="GF95" s="118"/>
      <c r="GG95" s="118"/>
      <c r="GH95" s="118"/>
      <c r="GI95" s="118"/>
      <c r="GJ95" s="118"/>
      <c r="GK95" s="118"/>
      <c r="GL95" s="118"/>
      <c r="GM95" s="118"/>
      <c r="GN95" s="118"/>
      <c r="GO95" s="118"/>
      <c r="GP95" s="118"/>
      <c r="GQ95" s="117"/>
      <c r="GR95" s="118"/>
      <c r="GS95" s="118"/>
      <c r="GT95" s="118"/>
      <c r="GU95" s="118"/>
      <c r="GV95" s="118"/>
      <c r="GW95" s="118"/>
      <c r="GX95" s="118"/>
      <c r="GY95" s="118"/>
      <c r="GZ95" s="118"/>
      <c r="HA95" s="118"/>
      <c r="HB95" s="118"/>
      <c r="HC95" s="118"/>
      <c r="HD95" s="118"/>
      <c r="HE95" s="118"/>
      <c r="HF95" s="118"/>
      <c r="HG95" s="118"/>
      <c r="HH95" s="118"/>
      <c r="HI95" s="118"/>
      <c r="HJ95" s="118"/>
      <c r="HK95" s="118"/>
      <c r="HL95" s="118"/>
      <c r="HM95" s="117"/>
      <c r="HN95" s="118"/>
      <c r="HO95" s="118"/>
      <c r="HP95" s="118"/>
      <c r="HQ95" s="118"/>
      <c r="HR95" s="118"/>
      <c r="HS95" s="118"/>
      <c r="HT95" s="118"/>
      <c r="HU95" s="118"/>
      <c r="HV95" s="118"/>
      <c r="HW95" s="118"/>
      <c r="HX95" s="118"/>
      <c r="HY95" s="118"/>
      <c r="HZ95" s="118"/>
      <c r="IA95" s="118"/>
      <c r="IB95" s="118"/>
      <c r="IC95" s="118"/>
      <c r="ID95" s="118"/>
      <c r="IE95" s="118"/>
      <c r="IF95" s="118"/>
      <c r="IG95" s="118"/>
      <c r="IH95" s="118"/>
      <c r="II95" s="117"/>
      <c r="IJ95" s="118"/>
      <c r="IK95" s="118"/>
      <c r="IL95" s="118"/>
      <c r="IM95" s="118"/>
      <c r="IN95" s="118"/>
      <c r="IO95" s="118"/>
      <c r="IP95" s="118"/>
      <c r="IQ95" s="118"/>
      <c r="IR95" s="118"/>
      <c r="IS95" s="118"/>
      <c r="IT95" s="118"/>
      <c r="IU95" s="118"/>
      <c r="IV95" s="118"/>
    </row>
    <row r="96" spans="1:256" s="116" customFormat="1" ht="15" customHeight="1">
      <c r="A96" s="606" t="s">
        <v>54</v>
      </c>
      <c r="B96" s="608"/>
      <c r="C96" s="608"/>
      <c r="D96" s="608"/>
      <c r="E96" s="608"/>
      <c r="F96" s="608"/>
      <c r="G96" s="608"/>
      <c r="H96" s="608"/>
      <c r="I96" s="608"/>
      <c r="J96" s="608"/>
      <c r="K96" s="608"/>
      <c r="L96" s="608"/>
      <c r="M96" s="608"/>
      <c r="N96" s="608"/>
      <c r="O96" s="145"/>
      <c r="P96" s="122"/>
      <c r="Q96" s="122"/>
      <c r="R96" s="122"/>
      <c r="S96" s="122"/>
      <c r="T96" s="122"/>
      <c r="U96" s="122"/>
      <c r="V96" s="122"/>
      <c r="W96" s="141"/>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1"/>
      <c r="AT96" s="142"/>
      <c r="AU96" s="142"/>
      <c r="AV96" s="142"/>
      <c r="AW96" s="142"/>
      <c r="AX96" s="142"/>
      <c r="AY96" s="142"/>
      <c r="AZ96" s="137"/>
      <c r="BA96" s="118"/>
      <c r="BB96" s="118"/>
      <c r="BC96" s="118"/>
      <c r="BD96" s="118"/>
      <c r="BE96" s="118"/>
      <c r="BF96" s="118"/>
      <c r="BG96" s="118"/>
      <c r="BH96" s="118"/>
      <c r="BI96" s="118"/>
      <c r="BJ96" s="118"/>
      <c r="BK96" s="118"/>
      <c r="BL96" s="118"/>
      <c r="BM96" s="118"/>
      <c r="BN96" s="118"/>
      <c r="BO96" s="117"/>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7"/>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7"/>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7"/>
      <c r="ED96" s="118"/>
      <c r="EE96" s="118"/>
      <c r="EF96" s="118"/>
      <c r="EG96" s="118"/>
      <c r="EH96" s="118"/>
      <c r="EI96" s="118"/>
      <c r="EJ96" s="118"/>
      <c r="EK96" s="118"/>
      <c r="EL96" s="118"/>
      <c r="EM96" s="118"/>
      <c r="EN96" s="118"/>
      <c r="EO96" s="118"/>
      <c r="EP96" s="118"/>
      <c r="EQ96" s="118"/>
      <c r="ER96" s="118"/>
      <c r="ES96" s="118"/>
      <c r="ET96" s="118"/>
      <c r="EU96" s="118"/>
      <c r="EV96" s="118"/>
      <c r="EW96" s="118"/>
      <c r="EX96" s="118"/>
      <c r="EY96" s="117"/>
      <c r="EZ96" s="118"/>
      <c r="FA96" s="118"/>
      <c r="FB96" s="118"/>
      <c r="FC96" s="118"/>
      <c r="FD96" s="118"/>
      <c r="FE96" s="118"/>
      <c r="FF96" s="118"/>
      <c r="FG96" s="118"/>
      <c r="FH96" s="118"/>
      <c r="FI96" s="118"/>
      <c r="FJ96" s="118"/>
      <c r="FK96" s="118"/>
      <c r="FL96" s="118"/>
      <c r="FM96" s="118"/>
      <c r="FN96" s="118"/>
      <c r="FO96" s="118"/>
      <c r="FP96" s="118"/>
      <c r="FQ96" s="118"/>
      <c r="FR96" s="118"/>
      <c r="FS96" s="118"/>
      <c r="FT96" s="118"/>
      <c r="FU96" s="117"/>
      <c r="FV96" s="118"/>
      <c r="FW96" s="118"/>
      <c r="FX96" s="118"/>
      <c r="FY96" s="118"/>
      <c r="FZ96" s="118"/>
      <c r="GA96" s="118"/>
      <c r="GB96" s="118"/>
      <c r="GC96" s="118"/>
      <c r="GD96" s="118"/>
      <c r="GE96" s="118"/>
      <c r="GF96" s="118"/>
      <c r="GG96" s="118"/>
      <c r="GH96" s="118"/>
      <c r="GI96" s="118"/>
      <c r="GJ96" s="118"/>
      <c r="GK96" s="118"/>
      <c r="GL96" s="118"/>
      <c r="GM96" s="118"/>
      <c r="GN96" s="118"/>
      <c r="GO96" s="118"/>
      <c r="GP96" s="118"/>
      <c r="GQ96" s="117"/>
      <c r="GR96" s="118"/>
      <c r="GS96" s="118"/>
      <c r="GT96" s="118"/>
      <c r="GU96" s="118"/>
      <c r="GV96" s="118"/>
      <c r="GW96" s="118"/>
      <c r="GX96" s="118"/>
      <c r="GY96" s="118"/>
      <c r="GZ96" s="118"/>
      <c r="HA96" s="118"/>
      <c r="HB96" s="118"/>
      <c r="HC96" s="118"/>
      <c r="HD96" s="118"/>
      <c r="HE96" s="118"/>
      <c r="HF96" s="118"/>
      <c r="HG96" s="118"/>
      <c r="HH96" s="118"/>
      <c r="HI96" s="118"/>
      <c r="HJ96" s="118"/>
      <c r="HK96" s="118"/>
      <c r="HL96" s="118"/>
      <c r="HM96" s="117"/>
      <c r="HN96" s="118"/>
      <c r="HO96" s="118"/>
      <c r="HP96" s="118"/>
      <c r="HQ96" s="118"/>
      <c r="HR96" s="118"/>
      <c r="HS96" s="118"/>
      <c r="HT96" s="118"/>
      <c r="HU96" s="118"/>
      <c r="HV96" s="118"/>
      <c r="HW96" s="118"/>
      <c r="HX96" s="118"/>
      <c r="HY96" s="118"/>
      <c r="HZ96" s="118"/>
      <c r="IA96" s="118"/>
      <c r="IB96" s="118"/>
      <c r="IC96" s="118"/>
      <c r="ID96" s="118"/>
      <c r="IE96" s="118"/>
      <c r="IF96" s="118"/>
      <c r="IG96" s="118"/>
      <c r="IH96" s="118"/>
      <c r="II96" s="117"/>
      <c r="IJ96" s="118"/>
      <c r="IK96" s="118"/>
      <c r="IL96" s="118"/>
      <c r="IM96" s="118"/>
      <c r="IN96" s="118"/>
      <c r="IO96" s="118"/>
      <c r="IP96" s="118"/>
      <c r="IQ96" s="118"/>
      <c r="IR96" s="118"/>
      <c r="IS96" s="118"/>
      <c r="IT96" s="118"/>
      <c r="IU96" s="118"/>
      <c r="IV96" s="118"/>
    </row>
    <row r="97" spans="1:256" s="116" customFormat="1" ht="15" customHeight="1">
      <c r="A97" s="608"/>
      <c r="B97" s="608"/>
      <c r="C97" s="608"/>
      <c r="D97" s="608"/>
      <c r="E97" s="608"/>
      <c r="F97" s="608"/>
      <c r="G97" s="608"/>
      <c r="H97" s="608"/>
      <c r="I97" s="608"/>
      <c r="J97" s="608"/>
      <c r="K97" s="608"/>
      <c r="L97" s="608"/>
      <c r="M97" s="608"/>
      <c r="N97" s="608"/>
      <c r="O97" s="145"/>
      <c r="P97" s="122"/>
      <c r="Q97" s="122"/>
      <c r="R97" s="122"/>
      <c r="S97" s="122"/>
      <c r="T97" s="122"/>
      <c r="U97" s="122"/>
      <c r="V97" s="122"/>
      <c r="W97" s="141"/>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1"/>
      <c r="AT97" s="142"/>
      <c r="AU97" s="142"/>
      <c r="AV97" s="142"/>
      <c r="AW97" s="142"/>
      <c r="AX97" s="142"/>
      <c r="AY97" s="142"/>
      <c r="AZ97" s="137"/>
      <c r="BA97" s="118"/>
      <c r="BB97" s="118"/>
      <c r="BC97" s="118"/>
      <c r="BD97" s="118"/>
      <c r="BE97" s="118"/>
      <c r="BF97" s="118"/>
      <c r="BG97" s="118"/>
      <c r="BH97" s="118"/>
      <c r="BI97" s="118"/>
      <c r="BJ97" s="118"/>
      <c r="BK97" s="118"/>
      <c r="BL97" s="118"/>
      <c r="BM97" s="118"/>
      <c r="BN97" s="118"/>
      <c r="BO97" s="117"/>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7"/>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7"/>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7"/>
      <c r="ED97" s="118"/>
      <c r="EE97" s="118"/>
      <c r="EF97" s="118"/>
      <c r="EG97" s="118"/>
      <c r="EH97" s="118"/>
      <c r="EI97" s="118"/>
      <c r="EJ97" s="118"/>
      <c r="EK97" s="118"/>
      <c r="EL97" s="118"/>
      <c r="EM97" s="118"/>
      <c r="EN97" s="118"/>
      <c r="EO97" s="118"/>
      <c r="EP97" s="118"/>
      <c r="EQ97" s="118"/>
      <c r="ER97" s="118"/>
      <c r="ES97" s="118"/>
      <c r="ET97" s="118"/>
      <c r="EU97" s="118"/>
      <c r="EV97" s="118"/>
      <c r="EW97" s="118"/>
      <c r="EX97" s="118"/>
      <c r="EY97" s="117"/>
      <c r="EZ97" s="118"/>
      <c r="FA97" s="118"/>
      <c r="FB97" s="118"/>
      <c r="FC97" s="118"/>
      <c r="FD97" s="118"/>
      <c r="FE97" s="118"/>
      <c r="FF97" s="118"/>
      <c r="FG97" s="118"/>
      <c r="FH97" s="118"/>
      <c r="FI97" s="118"/>
      <c r="FJ97" s="118"/>
      <c r="FK97" s="118"/>
      <c r="FL97" s="118"/>
      <c r="FM97" s="118"/>
      <c r="FN97" s="118"/>
      <c r="FO97" s="118"/>
      <c r="FP97" s="118"/>
      <c r="FQ97" s="118"/>
      <c r="FR97" s="118"/>
      <c r="FS97" s="118"/>
      <c r="FT97" s="118"/>
      <c r="FU97" s="117"/>
      <c r="FV97" s="118"/>
      <c r="FW97" s="118"/>
      <c r="FX97" s="118"/>
      <c r="FY97" s="118"/>
      <c r="FZ97" s="118"/>
      <c r="GA97" s="118"/>
      <c r="GB97" s="118"/>
      <c r="GC97" s="118"/>
      <c r="GD97" s="118"/>
      <c r="GE97" s="118"/>
      <c r="GF97" s="118"/>
      <c r="GG97" s="118"/>
      <c r="GH97" s="118"/>
      <c r="GI97" s="118"/>
      <c r="GJ97" s="118"/>
      <c r="GK97" s="118"/>
      <c r="GL97" s="118"/>
      <c r="GM97" s="118"/>
      <c r="GN97" s="118"/>
      <c r="GO97" s="118"/>
      <c r="GP97" s="118"/>
      <c r="GQ97" s="117"/>
      <c r="GR97" s="118"/>
      <c r="GS97" s="118"/>
      <c r="GT97" s="118"/>
      <c r="GU97" s="118"/>
      <c r="GV97" s="118"/>
      <c r="GW97" s="118"/>
      <c r="GX97" s="118"/>
      <c r="GY97" s="118"/>
      <c r="GZ97" s="118"/>
      <c r="HA97" s="118"/>
      <c r="HB97" s="118"/>
      <c r="HC97" s="118"/>
      <c r="HD97" s="118"/>
      <c r="HE97" s="118"/>
      <c r="HF97" s="118"/>
      <c r="HG97" s="118"/>
      <c r="HH97" s="118"/>
      <c r="HI97" s="118"/>
      <c r="HJ97" s="118"/>
      <c r="HK97" s="118"/>
      <c r="HL97" s="118"/>
      <c r="HM97" s="117"/>
      <c r="HN97" s="118"/>
      <c r="HO97" s="118"/>
      <c r="HP97" s="118"/>
      <c r="HQ97" s="118"/>
      <c r="HR97" s="118"/>
      <c r="HS97" s="118"/>
      <c r="HT97" s="118"/>
      <c r="HU97" s="118"/>
      <c r="HV97" s="118"/>
      <c r="HW97" s="118"/>
      <c r="HX97" s="118"/>
      <c r="HY97" s="118"/>
      <c r="HZ97" s="118"/>
      <c r="IA97" s="118"/>
      <c r="IB97" s="118"/>
      <c r="IC97" s="118"/>
      <c r="ID97" s="118"/>
      <c r="IE97" s="118"/>
      <c r="IF97" s="118"/>
      <c r="IG97" s="118"/>
      <c r="IH97" s="118"/>
      <c r="II97" s="117"/>
      <c r="IJ97" s="118"/>
      <c r="IK97" s="118"/>
      <c r="IL97" s="118"/>
      <c r="IM97" s="118"/>
      <c r="IN97" s="118"/>
      <c r="IO97" s="118"/>
      <c r="IP97" s="118"/>
      <c r="IQ97" s="118"/>
      <c r="IR97" s="118"/>
      <c r="IS97" s="118"/>
      <c r="IT97" s="118"/>
      <c r="IU97" s="118"/>
      <c r="IV97" s="118"/>
    </row>
    <row r="98" spans="1:256" s="116" customFormat="1" ht="15" customHeight="1">
      <c r="A98" s="608"/>
      <c r="B98" s="608"/>
      <c r="C98" s="608"/>
      <c r="D98" s="608"/>
      <c r="E98" s="608"/>
      <c r="F98" s="608"/>
      <c r="G98" s="608"/>
      <c r="H98" s="608"/>
      <c r="I98" s="608"/>
      <c r="J98" s="608"/>
      <c r="K98" s="608"/>
      <c r="L98" s="608"/>
      <c r="M98" s="608"/>
      <c r="N98" s="608"/>
      <c r="O98" s="145"/>
      <c r="P98" s="122"/>
      <c r="Q98" s="122"/>
      <c r="R98" s="122"/>
      <c r="S98" s="122"/>
      <c r="T98" s="122"/>
      <c r="U98" s="122"/>
      <c r="V98" s="122"/>
      <c r="W98" s="141"/>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1"/>
      <c r="AT98" s="142"/>
      <c r="AU98" s="142"/>
      <c r="AV98" s="142"/>
      <c r="AW98" s="142"/>
      <c r="AX98" s="142"/>
      <c r="AY98" s="142"/>
      <c r="AZ98" s="137"/>
      <c r="BA98" s="118"/>
      <c r="BB98" s="118"/>
      <c r="BC98" s="118"/>
      <c r="BD98" s="118"/>
      <c r="BE98" s="118"/>
      <c r="BF98" s="118"/>
      <c r="BG98" s="118"/>
      <c r="BH98" s="118"/>
      <c r="BI98" s="118"/>
      <c r="BJ98" s="118"/>
      <c r="BK98" s="118"/>
      <c r="BL98" s="118"/>
      <c r="BM98" s="118"/>
      <c r="BN98" s="118"/>
      <c r="BO98" s="117"/>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7"/>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7"/>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7"/>
      <c r="ED98" s="118"/>
      <c r="EE98" s="118"/>
      <c r="EF98" s="118"/>
      <c r="EG98" s="118"/>
      <c r="EH98" s="118"/>
      <c r="EI98" s="118"/>
      <c r="EJ98" s="118"/>
      <c r="EK98" s="118"/>
      <c r="EL98" s="118"/>
      <c r="EM98" s="118"/>
      <c r="EN98" s="118"/>
      <c r="EO98" s="118"/>
      <c r="EP98" s="118"/>
      <c r="EQ98" s="118"/>
      <c r="ER98" s="118"/>
      <c r="ES98" s="118"/>
      <c r="ET98" s="118"/>
      <c r="EU98" s="118"/>
      <c r="EV98" s="118"/>
      <c r="EW98" s="118"/>
      <c r="EX98" s="118"/>
      <c r="EY98" s="117"/>
      <c r="EZ98" s="118"/>
      <c r="FA98" s="118"/>
      <c r="FB98" s="118"/>
      <c r="FC98" s="118"/>
      <c r="FD98" s="118"/>
      <c r="FE98" s="118"/>
      <c r="FF98" s="118"/>
      <c r="FG98" s="118"/>
      <c r="FH98" s="118"/>
      <c r="FI98" s="118"/>
      <c r="FJ98" s="118"/>
      <c r="FK98" s="118"/>
      <c r="FL98" s="118"/>
      <c r="FM98" s="118"/>
      <c r="FN98" s="118"/>
      <c r="FO98" s="118"/>
      <c r="FP98" s="118"/>
      <c r="FQ98" s="118"/>
      <c r="FR98" s="118"/>
      <c r="FS98" s="118"/>
      <c r="FT98" s="118"/>
      <c r="FU98" s="117"/>
      <c r="FV98" s="118"/>
      <c r="FW98" s="118"/>
      <c r="FX98" s="118"/>
      <c r="FY98" s="118"/>
      <c r="FZ98" s="118"/>
      <c r="GA98" s="118"/>
      <c r="GB98" s="118"/>
      <c r="GC98" s="118"/>
      <c r="GD98" s="118"/>
      <c r="GE98" s="118"/>
      <c r="GF98" s="118"/>
      <c r="GG98" s="118"/>
      <c r="GH98" s="118"/>
      <c r="GI98" s="118"/>
      <c r="GJ98" s="118"/>
      <c r="GK98" s="118"/>
      <c r="GL98" s="118"/>
      <c r="GM98" s="118"/>
      <c r="GN98" s="118"/>
      <c r="GO98" s="118"/>
      <c r="GP98" s="118"/>
      <c r="GQ98" s="117"/>
      <c r="GR98" s="118"/>
      <c r="GS98" s="118"/>
      <c r="GT98" s="118"/>
      <c r="GU98" s="118"/>
      <c r="GV98" s="118"/>
      <c r="GW98" s="118"/>
      <c r="GX98" s="118"/>
      <c r="GY98" s="118"/>
      <c r="GZ98" s="118"/>
      <c r="HA98" s="118"/>
      <c r="HB98" s="118"/>
      <c r="HC98" s="118"/>
      <c r="HD98" s="118"/>
      <c r="HE98" s="118"/>
      <c r="HF98" s="118"/>
      <c r="HG98" s="118"/>
      <c r="HH98" s="118"/>
      <c r="HI98" s="118"/>
      <c r="HJ98" s="118"/>
      <c r="HK98" s="118"/>
      <c r="HL98" s="118"/>
      <c r="HM98" s="117"/>
      <c r="HN98" s="118"/>
      <c r="HO98" s="118"/>
      <c r="HP98" s="118"/>
      <c r="HQ98" s="118"/>
      <c r="HR98" s="118"/>
      <c r="HS98" s="118"/>
      <c r="HT98" s="118"/>
      <c r="HU98" s="118"/>
      <c r="HV98" s="118"/>
      <c r="HW98" s="118"/>
      <c r="HX98" s="118"/>
      <c r="HY98" s="118"/>
      <c r="HZ98" s="118"/>
      <c r="IA98" s="118"/>
      <c r="IB98" s="118"/>
      <c r="IC98" s="118"/>
      <c r="ID98" s="118"/>
      <c r="IE98" s="118"/>
      <c r="IF98" s="118"/>
      <c r="IG98" s="118"/>
      <c r="IH98" s="118"/>
      <c r="II98" s="117"/>
      <c r="IJ98" s="118"/>
      <c r="IK98" s="118"/>
      <c r="IL98" s="118"/>
      <c r="IM98" s="118"/>
      <c r="IN98" s="118"/>
      <c r="IO98" s="118"/>
      <c r="IP98" s="118"/>
      <c r="IQ98" s="118"/>
      <c r="IR98" s="118"/>
      <c r="IS98" s="118"/>
      <c r="IT98" s="118"/>
      <c r="IU98" s="118"/>
      <c r="IV98" s="118"/>
    </row>
    <row r="99" spans="1:52" s="119" customFormat="1" ht="15" customHeight="1">
      <c r="A99" s="608"/>
      <c r="B99" s="608"/>
      <c r="C99" s="608"/>
      <c r="D99" s="608"/>
      <c r="E99" s="608"/>
      <c r="F99" s="608"/>
      <c r="G99" s="608"/>
      <c r="H99" s="608"/>
      <c r="I99" s="608"/>
      <c r="J99" s="608"/>
      <c r="K99" s="608"/>
      <c r="L99" s="608"/>
      <c r="M99" s="608"/>
      <c r="N99" s="608"/>
      <c r="O99" s="145"/>
      <c r="P99" s="122"/>
      <c r="Q99" s="122"/>
      <c r="R99" s="122"/>
      <c r="S99" s="122"/>
      <c r="T99" s="122"/>
      <c r="U99" s="122"/>
      <c r="V99" s="122"/>
      <c r="W99" s="143"/>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38"/>
    </row>
    <row r="100" spans="1:15" s="3" customFormat="1" ht="18">
      <c r="A100" s="74"/>
      <c r="B100" s="33"/>
      <c r="C100" s="34"/>
      <c r="D100" s="35"/>
      <c r="E100" s="22"/>
      <c r="F100" s="22"/>
      <c r="G100" s="22"/>
      <c r="H100" s="36"/>
      <c r="I100" s="37"/>
      <c r="J100" s="398"/>
      <c r="K100" s="160"/>
      <c r="L100" s="40"/>
      <c r="M100" s="41"/>
      <c r="N100" s="39"/>
      <c r="O100" s="146"/>
    </row>
    <row r="101" spans="1:15" s="3" customFormat="1" ht="18">
      <c r="A101" s="74"/>
      <c r="B101" s="33"/>
      <c r="C101" s="34"/>
      <c r="D101" s="35"/>
      <c r="E101" s="22"/>
      <c r="F101" s="22"/>
      <c r="G101" s="22"/>
      <c r="H101" s="36"/>
      <c r="I101" s="37"/>
      <c r="J101" s="398"/>
      <c r="K101" s="160"/>
      <c r="L101" s="40"/>
      <c r="M101" s="41"/>
      <c r="N101" s="39"/>
      <c r="O101" s="146"/>
    </row>
  </sheetData>
  <sheetProtection/>
  <mergeCells count="11">
    <mergeCell ref="A2:I2"/>
    <mergeCell ref="A92:N92"/>
    <mergeCell ref="A93:N95"/>
    <mergeCell ref="A96:N99"/>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H7:I11" formula="1"/>
    <ignoredError sqref="H12:I21" formula="1" unlockedFormula="1"/>
    <ignoredError sqref="G12:G38 H22:I38" unlockedFormula="1"/>
  </ignoredErrors>
  <drawing r:id="rId1"/>
</worksheet>
</file>

<file path=xl/worksheets/sheet3.xml><?xml version="1.0" encoding="utf-8"?>
<worksheet xmlns="http://schemas.openxmlformats.org/spreadsheetml/2006/main" xmlns:r="http://schemas.openxmlformats.org/officeDocument/2006/relationships">
  <dimension ref="A1:T372"/>
  <sheetViews>
    <sheetView zoomScalePageLayoutView="0" workbookViewId="0" topLeftCell="A1">
      <selection activeCell="A2" sqref="A2:N2"/>
    </sheetView>
  </sheetViews>
  <sheetFormatPr defaultColWidth="8.8515625" defaultRowHeight="12.75"/>
  <cols>
    <col min="1" max="1" width="3.7109375" style="79" bestFit="1" customWidth="1"/>
    <col min="2" max="2" width="59.7109375" style="11" bestFit="1" customWidth="1"/>
    <col min="3" max="3" width="8.421875" style="16" bestFit="1" customWidth="1"/>
    <col min="4" max="4" width="22.00390625" style="10" bestFit="1" customWidth="1"/>
    <col min="5" max="5" width="6.8515625" style="248" customWidth="1"/>
    <col min="6" max="6" width="7.28125" style="249" customWidth="1"/>
    <col min="7" max="7" width="8.421875" style="250" customWidth="1"/>
    <col min="8" max="8" width="13.57421875" style="152" bestFit="1" customWidth="1"/>
    <col min="9" max="9" width="8.57421875" style="153"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418" bestFit="1" customWidth="1"/>
    <col min="16" max="16" width="2.140625" style="264" bestFit="1" customWidth="1"/>
    <col min="17" max="18" width="4.00390625" style="0" customWidth="1"/>
    <col min="19" max="19" width="9.7109375" style="0" bestFit="1" customWidth="1"/>
    <col min="20" max="20" width="6.00390625" style="0" bestFit="1" customWidth="1"/>
  </cols>
  <sheetData>
    <row r="1" spans="1:16" s="1" customFormat="1" ht="72.75" customHeight="1">
      <c r="A1" s="92"/>
      <c r="B1" s="93"/>
      <c r="C1" s="94"/>
      <c r="D1" s="95"/>
      <c r="E1" s="96"/>
      <c r="F1" s="96"/>
      <c r="G1" s="96"/>
      <c r="H1" s="97"/>
      <c r="I1" s="98"/>
      <c r="J1" s="99"/>
      <c r="K1" s="100"/>
      <c r="L1" s="101"/>
      <c r="M1" s="102"/>
      <c r="N1" s="103"/>
      <c r="O1" s="260"/>
      <c r="P1" s="260"/>
    </row>
    <row r="2" spans="1:16" s="5" customFormat="1" ht="22.5" customHeight="1" thickBot="1">
      <c r="A2" s="620" t="s">
        <v>84</v>
      </c>
      <c r="B2" s="621"/>
      <c r="C2" s="621"/>
      <c r="D2" s="621"/>
      <c r="E2" s="621"/>
      <c r="F2" s="621"/>
      <c r="G2" s="621"/>
      <c r="H2" s="621"/>
      <c r="I2" s="621"/>
      <c r="J2" s="621"/>
      <c r="K2" s="621"/>
      <c r="L2" s="621"/>
      <c r="M2" s="621"/>
      <c r="N2" s="621"/>
      <c r="O2" s="261"/>
      <c r="P2" s="261"/>
    </row>
    <row r="3" spans="1:20" s="84" customFormat="1" ht="12.75">
      <c r="A3" s="114"/>
      <c r="B3" s="601" t="s">
        <v>6</v>
      </c>
      <c r="C3" s="605" t="s">
        <v>43</v>
      </c>
      <c r="D3" s="603" t="s">
        <v>33</v>
      </c>
      <c r="E3" s="599" t="s">
        <v>44</v>
      </c>
      <c r="F3" s="599" t="s">
        <v>51</v>
      </c>
      <c r="G3" s="599" t="s">
        <v>32</v>
      </c>
      <c r="H3" s="618" t="s">
        <v>45</v>
      </c>
      <c r="I3" s="618"/>
      <c r="J3" s="618"/>
      <c r="K3" s="618"/>
      <c r="L3" s="618" t="s">
        <v>46</v>
      </c>
      <c r="M3" s="618"/>
      <c r="N3" s="619"/>
      <c r="O3" s="412"/>
      <c r="P3" s="262"/>
      <c r="Q3" s="147"/>
      <c r="R3" s="147"/>
      <c r="S3" s="147"/>
      <c r="T3" s="147"/>
    </row>
    <row r="4" spans="1:20" s="84" customFormat="1" ht="39" thickBot="1">
      <c r="A4" s="115"/>
      <c r="B4" s="623"/>
      <c r="C4" s="624"/>
      <c r="D4" s="622"/>
      <c r="E4" s="622"/>
      <c r="F4" s="622"/>
      <c r="G4" s="625"/>
      <c r="H4" s="219" t="s">
        <v>47</v>
      </c>
      <c r="I4" s="220" t="s">
        <v>48</v>
      </c>
      <c r="J4" s="220" t="s">
        <v>38</v>
      </c>
      <c r="K4" s="221" t="s">
        <v>49</v>
      </c>
      <c r="L4" s="219" t="s">
        <v>47</v>
      </c>
      <c r="M4" s="220" t="s">
        <v>48</v>
      </c>
      <c r="N4" s="222" t="s">
        <v>50</v>
      </c>
      <c r="O4" s="413"/>
      <c r="P4" s="263"/>
      <c r="Q4" s="147"/>
      <c r="R4" s="147"/>
      <c r="S4" s="147"/>
      <c r="T4" s="147"/>
    </row>
    <row r="5" spans="1:20" ht="13.5" customHeight="1">
      <c r="A5" s="223">
        <v>1</v>
      </c>
      <c r="B5" s="360" t="s">
        <v>153</v>
      </c>
      <c r="C5" s="361">
        <v>40095</v>
      </c>
      <c r="D5" s="362" t="s">
        <v>118</v>
      </c>
      <c r="E5" s="363">
        <v>22</v>
      </c>
      <c r="F5" s="363">
        <v>1</v>
      </c>
      <c r="G5" s="363">
        <v>20</v>
      </c>
      <c r="H5" s="364">
        <v>952</v>
      </c>
      <c r="I5" s="365">
        <v>238</v>
      </c>
      <c r="J5" s="366">
        <f>(I5/F5)</f>
        <v>238</v>
      </c>
      <c r="K5" s="367">
        <f>H5/I5</f>
        <v>4</v>
      </c>
      <c r="L5" s="368">
        <f>158809.5+140713.25+103696.25+38523+19360+17458+1188+196+2484+3158+1780+2933+1780+2461+6600.5+2668.5+440+441+476+952</f>
        <v>506118</v>
      </c>
      <c r="M5" s="369">
        <f>14214+13110+10683+4685+3074+2645+297+16+571+596+445+584+445+466+837+295+44+65+72+238</f>
        <v>53382</v>
      </c>
      <c r="N5" s="370">
        <f>L5/M5</f>
        <v>9.481061031808474</v>
      </c>
      <c r="O5" s="399"/>
      <c r="P5" s="287"/>
      <c r="Q5" s="66"/>
      <c r="R5" s="66"/>
      <c r="S5" s="66"/>
      <c r="T5" s="66"/>
    </row>
    <row r="6" spans="1:20" ht="13.5" customHeight="1">
      <c r="A6" s="223">
        <v>2</v>
      </c>
      <c r="B6" s="209" t="s">
        <v>191</v>
      </c>
      <c r="C6" s="173">
        <v>39493</v>
      </c>
      <c r="D6" s="242" t="s">
        <v>26</v>
      </c>
      <c r="E6" s="241">
        <v>179</v>
      </c>
      <c r="F6" s="241">
        <v>1</v>
      </c>
      <c r="G6" s="241">
        <v>47</v>
      </c>
      <c r="H6" s="199">
        <v>1919</v>
      </c>
      <c r="I6" s="178">
        <v>320</v>
      </c>
      <c r="J6" s="170">
        <f>(I6/F6)</f>
        <v>320</v>
      </c>
      <c r="K6" s="192">
        <f>H6/I6</f>
        <v>5.996875</v>
      </c>
      <c r="L6" s="201">
        <f>5039812.5+1919</f>
        <v>5041731.5</v>
      </c>
      <c r="M6" s="166">
        <f>1038442+320</f>
        <v>1038762</v>
      </c>
      <c r="N6" s="210">
        <f>L6/M6</f>
        <v>4.853596396479656</v>
      </c>
      <c r="O6" s="268">
        <v>1</v>
      </c>
      <c r="P6" s="288"/>
      <c r="Q6" s="66"/>
      <c r="R6" s="66"/>
      <c r="S6" s="66"/>
      <c r="T6" s="66"/>
    </row>
    <row r="7" spans="1:20" ht="13.5" customHeight="1">
      <c r="A7" s="223">
        <v>3</v>
      </c>
      <c r="B7" s="371" t="s">
        <v>16</v>
      </c>
      <c r="C7" s="164">
        <v>40417</v>
      </c>
      <c r="D7" s="229" t="s">
        <v>118</v>
      </c>
      <c r="E7" s="241">
        <v>25</v>
      </c>
      <c r="F7" s="241">
        <v>1</v>
      </c>
      <c r="G7" s="241">
        <v>15</v>
      </c>
      <c r="H7" s="304">
        <v>807</v>
      </c>
      <c r="I7" s="177">
        <v>102</v>
      </c>
      <c r="J7" s="170">
        <f>(I7/F7)</f>
        <v>102</v>
      </c>
      <c r="K7" s="311">
        <f>H7/I7</f>
        <v>7.911764705882353</v>
      </c>
      <c r="L7" s="184">
        <f>87475.5+57473+42134+23624+14854.5+21662+13363.5+5246+6057+2099+300.5+763+292.5+496.5+807</f>
        <v>276648</v>
      </c>
      <c r="M7" s="169">
        <f>7817+5228+5394+3109+2109+2845+2026+770+762+416+44+111+45+73+102</f>
        <v>30851</v>
      </c>
      <c r="N7" s="185">
        <f>L7/M7</f>
        <v>8.96722958737156</v>
      </c>
      <c r="O7" s="268"/>
      <c r="P7" s="288"/>
      <c r="Q7" s="66"/>
      <c r="R7" s="66"/>
      <c r="S7" s="66"/>
      <c r="T7" s="66"/>
    </row>
    <row r="8" spans="1:20" ht="13.5" customHeight="1">
      <c r="A8" s="223">
        <v>4</v>
      </c>
      <c r="B8" s="205" t="s">
        <v>129</v>
      </c>
      <c r="C8" s="164">
        <v>40172</v>
      </c>
      <c r="D8" s="242" t="s">
        <v>118</v>
      </c>
      <c r="E8" s="241">
        <v>60</v>
      </c>
      <c r="F8" s="241">
        <v>1</v>
      </c>
      <c r="G8" s="241">
        <v>37</v>
      </c>
      <c r="H8" s="191">
        <v>70</v>
      </c>
      <c r="I8" s="177">
        <v>7</v>
      </c>
      <c r="J8" s="170">
        <f>(I8/F8)</f>
        <v>7</v>
      </c>
      <c r="K8" s="192">
        <f>H8/I8</f>
        <v>10</v>
      </c>
      <c r="L8" s="193">
        <f>421775.5+397095.5+287050+215248.5+189819.5+180729.5+86816.5+23840+19148+14942.5+8798.5+9599+13618.5+4298+4028+3310+8547+6712.5+1803+1172+973+2291+380.5+3015+1103.5+65+2061.5+1262+1020+2232+2970+5074+2970+1188+250+200+70</f>
        <v>1925477.5</v>
      </c>
      <c r="M8" s="169">
        <f>43739+40732+31780+27356+25902+24895+12153+4496+3179+3069+1650+2236+3335+954+829+540+1945+1297+429+261+173+594+53+613+200+10+480+240+102+533+743+1267+742+297+28+20+7</f>
        <v>236879</v>
      </c>
      <c r="N8" s="210">
        <f>L8/M8</f>
        <v>8.128527644915758</v>
      </c>
      <c r="O8" s="541"/>
      <c r="P8" s="287"/>
      <c r="Q8" s="66"/>
      <c r="R8" s="66"/>
      <c r="S8" s="66"/>
      <c r="T8" s="66"/>
    </row>
    <row r="9" spans="1:20" ht="13.5" customHeight="1">
      <c r="A9" s="223">
        <v>5</v>
      </c>
      <c r="B9" s="205" t="s">
        <v>129</v>
      </c>
      <c r="C9" s="428">
        <v>40172</v>
      </c>
      <c r="D9" s="429" t="s">
        <v>118</v>
      </c>
      <c r="E9" s="430">
        <v>60</v>
      </c>
      <c r="F9" s="430">
        <v>1</v>
      </c>
      <c r="G9" s="430">
        <v>36</v>
      </c>
      <c r="H9" s="191">
        <v>200</v>
      </c>
      <c r="I9" s="177">
        <v>20</v>
      </c>
      <c r="J9" s="163">
        <v>20</v>
      </c>
      <c r="K9" s="189">
        <v>10</v>
      </c>
      <c r="L9" s="193">
        <v>1925407.5</v>
      </c>
      <c r="M9" s="169">
        <v>236872</v>
      </c>
      <c r="N9" s="210">
        <v>8.12847233949137</v>
      </c>
      <c r="O9" s="454"/>
      <c r="P9" s="288"/>
      <c r="Q9" s="66"/>
      <c r="R9" s="66"/>
      <c r="S9" s="66"/>
      <c r="T9" s="66"/>
    </row>
    <row r="10" spans="1:20" ht="13.5" customHeight="1">
      <c r="A10" s="223">
        <v>6</v>
      </c>
      <c r="B10" s="205" t="s">
        <v>129</v>
      </c>
      <c r="C10" s="164">
        <v>40172</v>
      </c>
      <c r="D10" s="242" t="s">
        <v>118</v>
      </c>
      <c r="E10" s="241">
        <v>60</v>
      </c>
      <c r="F10" s="241">
        <v>3</v>
      </c>
      <c r="G10" s="241">
        <v>32</v>
      </c>
      <c r="H10" s="191">
        <v>5074</v>
      </c>
      <c r="I10" s="177">
        <v>1267</v>
      </c>
      <c r="J10" s="170">
        <f aca="true" t="shared" si="0" ref="J10:J21">(I10/F10)</f>
        <v>422.3333333333333</v>
      </c>
      <c r="K10" s="192">
        <f aca="true" t="shared" si="1" ref="K10:K35">H10/I10</f>
        <v>4.004735595895817</v>
      </c>
      <c r="L10" s="193">
        <f>421775.5+397095.5+287050+215248.5+189819.5+180729.5+86816.5+23840+19148+14942.5+8798.5+9599+13618.5+4298+4028+3310+8547+6712.5+1803+1172+973+2291+380.5+3015+1103.5+65+2061.5+1262+1020+2232+2970+5074</f>
        <v>1920799.5</v>
      </c>
      <c r="M10" s="169">
        <f>43739+40732+31780+27356+25902+24895+12153+4496+3179+3069+1650+2236+3335+954+829+540+1945+1297+429+261+173+594+53+613+200+10+480+240+102+533+743+1267</f>
        <v>235785</v>
      </c>
      <c r="N10" s="210">
        <f aca="true" t="shared" si="2" ref="N10:N21">L10/M10</f>
        <v>8.146402442903492</v>
      </c>
      <c r="O10" s="268"/>
      <c r="P10" s="287"/>
      <c r="Q10" s="66"/>
      <c r="R10" s="66"/>
      <c r="S10" s="66"/>
      <c r="T10" s="66"/>
    </row>
    <row r="11" spans="1:20" ht="13.5" customHeight="1">
      <c r="A11" s="223">
        <v>7</v>
      </c>
      <c r="B11" s="205" t="s">
        <v>129</v>
      </c>
      <c r="C11" s="164">
        <v>40172</v>
      </c>
      <c r="D11" s="229" t="s">
        <v>118</v>
      </c>
      <c r="E11" s="230">
        <v>60</v>
      </c>
      <c r="F11" s="230">
        <v>2</v>
      </c>
      <c r="G11" s="230">
        <v>33</v>
      </c>
      <c r="H11" s="191">
        <v>2970</v>
      </c>
      <c r="I11" s="177">
        <v>742</v>
      </c>
      <c r="J11" s="170">
        <f t="shared" si="0"/>
        <v>371</v>
      </c>
      <c r="K11" s="192">
        <f t="shared" si="1"/>
        <v>4.002695417789758</v>
      </c>
      <c r="L11" s="193">
        <f>421775.5+397095.5+287050+215248.5+189819.5+180729.5+86816.5+23840+19148+14942.5+8798.5+9599+13618.5+4298+4028+3310+8547+6712.5+1803+1172+973+2291+380.5+3015+1103.5+65+2061.5+1262+1020+2232+2970+5074+2970</f>
        <v>1923769.5</v>
      </c>
      <c r="M11" s="169">
        <f>43739+40732+31780+27356+25902+24895+12153+4496+3179+3069+1650+2236+3335+954+829+540+1945+1297+429+261+173+594+53+613+200+10+480+240+102+533+743+1267+742</f>
        <v>236527</v>
      </c>
      <c r="N11" s="210">
        <f t="shared" si="2"/>
        <v>8.133403374667585</v>
      </c>
      <c r="O11" s="415"/>
      <c r="P11" s="287"/>
      <c r="Q11" s="66"/>
      <c r="R11" s="66"/>
      <c r="S11" s="66"/>
      <c r="T11" s="66"/>
    </row>
    <row r="12" spans="1:20" ht="13.5" customHeight="1">
      <c r="A12" s="223">
        <v>8</v>
      </c>
      <c r="B12" s="205" t="s">
        <v>129</v>
      </c>
      <c r="C12" s="257">
        <v>40172</v>
      </c>
      <c r="D12" s="229" t="s">
        <v>118</v>
      </c>
      <c r="E12" s="230">
        <v>60</v>
      </c>
      <c r="F12" s="230">
        <v>1</v>
      </c>
      <c r="G12" s="230">
        <v>34</v>
      </c>
      <c r="H12" s="304">
        <v>1188</v>
      </c>
      <c r="I12" s="315">
        <v>297</v>
      </c>
      <c r="J12" s="316">
        <f t="shared" si="0"/>
        <v>297</v>
      </c>
      <c r="K12" s="311">
        <f t="shared" si="1"/>
        <v>4</v>
      </c>
      <c r="L12" s="184">
        <f>421775.5+397095.5+287050+215248.5+189819.5+180729.5+86816.5+23840+19148+14942.5+8798.5+9599+13618.5+4298+4028+3310+8547+6712.5+1803+1172+973+2291+380.5+3015+1103.5+65+2061.5+1262+1020+2232+2970+5074+2970+1188</f>
        <v>1924957.5</v>
      </c>
      <c r="M12" s="266">
        <f>43739+40732+31780+27356+25902+24895+12153+4496+3179+3069+1650+2236+3335+954+829+540+1945+1297+429+261+173+594+53+613+200+10+480+240+102+533+743+1267+742+297</f>
        <v>236824</v>
      </c>
      <c r="N12" s="185">
        <f t="shared" si="2"/>
        <v>8.128219690571902</v>
      </c>
      <c r="O12" s="399"/>
      <c r="P12" s="287"/>
      <c r="Q12" s="66"/>
      <c r="R12" s="66"/>
      <c r="S12" s="66"/>
      <c r="T12" s="66"/>
    </row>
    <row r="13" spans="1:20" ht="13.5" customHeight="1">
      <c r="A13" s="223">
        <v>9</v>
      </c>
      <c r="B13" s="205" t="s">
        <v>129</v>
      </c>
      <c r="C13" s="164">
        <v>40172</v>
      </c>
      <c r="D13" s="421" t="s">
        <v>118</v>
      </c>
      <c r="E13" s="241">
        <v>60</v>
      </c>
      <c r="F13" s="241">
        <v>1</v>
      </c>
      <c r="G13" s="241">
        <v>35</v>
      </c>
      <c r="H13" s="191">
        <v>250</v>
      </c>
      <c r="I13" s="177">
        <v>28</v>
      </c>
      <c r="J13" s="170">
        <f t="shared" si="0"/>
        <v>28</v>
      </c>
      <c r="K13" s="192">
        <f t="shared" si="1"/>
        <v>8.928571428571429</v>
      </c>
      <c r="L13" s="193">
        <f>421775.5+397095.5+287050+215248.5+189819.5+180729.5+86816.5+23840+19148+14942.5+8798.5+9599+13618.5+4298+4028+3310+8547+6712.5+1803+1172+973+2291+380.5+3015+1103.5+65+2061.5+1262+1020+2232+2970+5074+2970+1188+250</f>
        <v>1925207.5</v>
      </c>
      <c r="M13" s="169">
        <f>43739+40732+31780+27356+25902+24895+12153+4496+3179+3069+1650+2236+3335+954+829+540+1945+1297+429+261+173+594+53+613+200+10+480+240+102+533+743+1267+742+297+28</f>
        <v>236852</v>
      </c>
      <c r="N13" s="210">
        <f t="shared" si="2"/>
        <v>8.128314305980105</v>
      </c>
      <c r="O13" s="422"/>
      <c r="P13" s="287"/>
      <c r="Q13" s="66"/>
      <c r="R13" s="66"/>
      <c r="S13" s="66"/>
      <c r="T13" s="66"/>
    </row>
    <row r="14" spans="1:20" ht="13.5" customHeight="1">
      <c r="A14" s="223">
        <v>10</v>
      </c>
      <c r="B14" s="372" t="s">
        <v>113</v>
      </c>
      <c r="C14" s="299">
        <v>40228</v>
      </c>
      <c r="D14" s="229" t="s">
        <v>118</v>
      </c>
      <c r="E14" s="301">
        <v>17</v>
      </c>
      <c r="F14" s="301">
        <v>1</v>
      </c>
      <c r="G14" s="301">
        <v>33</v>
      </c>
      <c r="H14" s="303">
        <v>1188</v>
      </c>
      <c r="I14" s="307">
        <v>297</v>
      </c>
      <c r="J14" s="308">
        <f t="shared" si="0"/>
        <v>297</v>
      </c>
      <c r="K14" s="310">
        <f t="shared" si="1"/>
        <v>4</v>
      </c>
      <c r="L14" s="313">
        <f>289107+1009.5+669+336+323+699+1238+121+1782+1782+1188</f>
        <v>298254.5</v>
      </c>
      <c r="M14" s="314">
        <f>30560+127+85+56+54+123+217+22+445+445+297</f>
        <v>32431</v>
      </c>
      <c r="N14" s="373">
        <f t="shared" si="2"/>
        <v>9.196586599241467</v>
      </c>
      <c r="O14" s="416"/>
      <c r="P14" s="287"/>
      <c r="Q14" s="66"/>
      <c r="R14" s="66"/>
      <c r="S14" s="66"/>
      <c r="T14" s="66"/>
    </row>
    <row r="15" spans="1:20" ht="13.5" customHeight="1">
      <c r="A15" s="223">
        <v>11</v>
      </c>
      <c r="B15" s="240" t="s">
        <v>213</v>
      </c>
      <c r="C15" s="400">
        <v>40123</v>
      </c>
      <c r="D15" s="229" t="s">
        <v>212</v>
      </c>
      <c r="E15" s="230">
        <v>144</v>
      </c>
      <c r="F15" s="230">
        <v>3</v>
      </c>
      <c r="G15" s="230">
        <v>23</v>
      </c>
      <c r="H15" s="191">
        <v>6416</v>
      </c>
      <c r="I15" s="177">
        <v>1604</v>
      </c>
      <c r="J15" s="170">
        <f t="shared" si="0"/>
        <v>534.6666666666666</v>
      </c>
      <c r="K15" s="401">
        <f t="shared" si="1"/>
        <v>4</v>
      </c>
      <c r="L15" s="193">
        <f>909778+593215.5+203934.5+91391+32233.5+29451.5+14597.5+12123.5+12906+13616+5350+7885.5+2130+3662+3564+2376+1780+1424+2848+1620+109+5940+6416</f>
        <v>1958351.5</v>
      </c>
      <c r="M15" s="169">
        <f>103944+67300+25860+13426+5611+5689+2739+1975+2803+2381+1177+1755+350+881+891+594+445+356+712+393+20+1485+1604</f>
        <v>242391</v>
      </c>
      <c r="N15" s="409">
        <f t="shared" si="2"/>
        <v>8.079307812583801</v>
      </c>
      <c r="O15" s="411">
        <v>1</v>
      </c>
      <c r="P15" s="287"/>
      <c r="Q15" s="66"/>
      <c r="R15" s="66"/>
      <c r="S15" s="66"/>
      <c r="T15" s="66"/>
    </row>
    <row r="16" spans="1:20" ht="13.5" customHeight="1">
      <c r="A16" s="223">
        <v>12</v>
      </c>
      <c r="B16" s="205" t="s">
        <v>174</v>
      </c>
      <c r="C16" s="164">
        <v>40459</v>
      </c>
      <c r="D16" s="242" t="s">
        <v>118</v>
      </c>
      <c r="E16" s="241">
        <v>142</v>
      </c>
      <c r="F16" s="241">
        <v>2</v>
      </c>
      <c r="G16" s="241">
        <v>17</v>
      </c>
      <c r="H16" s="191">
        <v>3207.5</v>
      </c>
      <c r="I16" s="177">
        <v>725</v>
      </c>
      <c r="J16" s="170">
        <f t="shared" si="0"/>
        <v>362.5</v>
      </c>
      <c r="K16" s="192">
        <f t="shared" si="1"/>
        <v>4.424137931034482</v>
      </c>
      <c r="L16" s="193">
        <f>569713+434829.5+295345.5+223420+26108+12415.5+5998+1904+1368+799+648+306+1782+594+1782+1425.5+3207.5</f>
        <v>1581645.5</v>
      </c>
      <c r="M16" s="169">
        <f>61050+47827+36467+29781+4601+2405+1000+284+287+123+103+51+445+113+446+267+725</f>
        <v>185975</v>
      </c>
      <c r="N16" s="210">
        <f t="shared" si="2"/>
        <v>8.504613523323027</v>
      </c>
      <c r="O16" s="296">
        <v>1</v>
      </c>
      <c r="P16" s="288"/>
      <c r="Q16" s="66"/>
      <c r="R16" s="66"/>
      <c r="S16" s="66"/>
      <c r="T16" s="66"/>
    </row>
    <row r="17" spans="1:20" ht="13.5" customHeight="1">
      <c r="A17" s="223">
        <v>13</v>
      </c>
      <c r="B17" s="205" t="s">
        <v>79</v>
      </c>
      <c r="C17" s="164">
        <v>40459</v>
      </c>
      <c r="D17" s="229" t="s">
        <v>118</v>
      </c>
      <c r="E17" s="241">
        <v>142</v>
      </c>
      <c r="F17" s="241">
        <v>1</v>
      </c>
      <c r="G17" s="241">
        <v>15</v>
      </c>
      <c r="H17" s="191">
        <v>1782</v>
      </c>
      <c r="I17" s="177">
        <v>446</v>
      </c>
      <c r="J17" s="170">
        <f t="shared" si="0"/>
        <v>446</v>
      </c>
      <c r="K17" s="192">
        <f t="shared" si="1"/>
        <v>3.995515695067265</v>
      </c>
      <c r="L17" s="193">
        <f>569713+434829.5+295345.5+223420+26108+12415.5+5998+1904+1368+799+648+306+1782+594+1782</f>
        <v>1577012.5</v>
      </c>
      <c r="M17" s="169">
        <f>61050+47827+36467+29781+4601+2405+1000+284+287+123+103+51+445+113+446</f>
        <v>184983</v>
      </c>
      <c r="N17" s="210">
        <f t="shared" si="2"/>
        <v>8.525175286377667</v>
      </c>
      <c r="O17" s="268">
        <v>1</v>
      </c>
      <c r="P17" s="288"/>
      <c r="Q17" s="66"/>
      <c r="R17" s="66"/>
      <c r="S17" s="66"/>
      <c r="T17" s="66"/>
    </row>
    <row r="18" spans="1:20" ht="13.5" customHeight="1">
      <c r="A18" s="223">
        <v>14</v>
      </c>
      <c r="B18" s="371" t="s">
        <v>79</v>
      </c>
      <c r="C18" s="164">
        <v>40459</v>
      </c>
      <c r="D18" s="229" t="s">
        <v>118</v>
      </c>
      <c r="E18" s="241">
        <v>142</v>
      </c>
      <c r="F18" s="241">
        <v>1</v>
      </c>
      <c r="G18" s="241">
        <v>13</v>
      </c>
      <c r="H18" s="304">
        <v>1782</v>
      </c>
      <c r="I18" s="177">
        <v>445</v>
      </c>
      <c r="J18" s="170">
        <f t="shared" si="0"/>
        <v>445</v>
      </c>
      <c r="K18" s="311">
        <f t="shared" si="1"/>
        <v>4.004494382022472</v>
      </c>
      <c r="L18" s="184">
        <f>569713+434829.5+295345.5+223420+26108+12415.5+5998+1904+1368+799+648+306+1782</f>
        <v>1574636.5</v>
      </c>
      <c r="M18" s="169">
        <f>61050+47827+36467+29781+4601+2405+1000+284+287+123+103+51+445</f>
        <v>184424</v>
      </c>
      <c r="N18" s="185">
        <f t="shared" si="2"/>
        <v>8.538132238754175</v>
      </c>
      <c r="O18" s="268"/>
      <c r="P18" s="287"/>
      <c r="Q18" s="66"/>
      <c r="R18" s="66"/>
      <c r="S18" s="66"/>
      <c r="T18" s="66"/>
    </row>
    <row r="19" spans="1:20" ht="13.5" customHeight="1">
      <c r="A19" s="223">
        <v>15</v>
      </c>
      <c r="B19" s="240" t="s">
        <v>79</v>
      </c>
      <c r="C19" s="257">
        <v>40459</v>
      </c>
      <c r="D19" s="229" t="s">
        <v>118</v>
      </c>
      <c r="E19" s="230">
        <v>142</v>
      </c>
      <c r="F19" s="230">
        <v>1</v>
      </c>
      <c r="G19" s="230">
        <v>16</v>
      </c>
      <c r="H19" s="191">
        <v>1425.5</v>
      </c>
      <c r="I19" s="177">
        <v>267</v>
      </c>
      <c r="J19" s="170">
        <f t="shared" si="0"/>
        <v>267</v>
      </c>
      <c r="K19" s="192">
        <f t="shared" si="1"/>
        <v>5.3389513108614235</v>
      </c>
      <c r="L19" s="193">
        <f>569713+434829.5+295345.5+223420+26108+12415.5+5998+1904+1368+799+648+306+1782+594+1782+1425.5</f>
        <v>1578438</v>
      </c>
      <c r="M19" s="169">
        <f>61050+47827+36467+29781+4601+2405+1000+284+287+123+103+51+445+113+446+267</f>
        <v>185250</v>
      </c>
      <c r="N19" s="210">
        <f t="shared" si="2"/>
        <v>8.520582995951417</v>
      </c>
      <c r="O19" s="399">
        <v>1</v>
      </c>
      <c r="P19" s="287"/>
      <c r="Q19" s="66"/>
      <c r="R19" s="66"/>
      <c r="S19" s="66"/>
      <c r="T19" s="66"/>
    </row>
    <row r="20" spans="1:20" ht="13.5" customHeight="1">
      <c r="A20" s="223">
        <v>16</v>
      </c>
      <c r="B20" s="372" t="s">
        <v>79</v>
      </c>
      <c r="C20" s="299">
        <v>40459</v>
      </c>
      <c r="D20" s="328" t="s">
        <v>118</v>
      </c>
      <c r="E20" s="301">
        <v>142</v>
      </c>
      <c r="F20" s="301">
        <v>1</v>
      </c>
      <c r="G20" s="301">
        <v>14</v>
      </c>
      <c r="H20" s="303">
        <v>594</v>
      </c>
      <c r="I20" s="307">
        <v>113</v>
      </c>
      <c r="J20" s="308">
        <f t="shared" si="0"/>
        <v>113</v>
      </c>
      <c r="K20" s="310">
        <f t="shared" si="1"/>
        <v>5.256637168141593</v>
      </c>
      <c r="L20" s="313">
        <f>569713+434829.5+295345.5+223420+26108+12415.5+5998+1904+1368+799+648+306+1782+594</f>
        <v>1575230.5</v>
      </c>
      <c r="M20" s="314">
        <f>61050+47827+36467+29781+4601+2405+1000+284+287+123+103+51+445+113</f>
        <v>184537</v>
      </c>
      <c r="N20" s="373">
        <f t="shared" si="2"/>
        <v>8.53612283715461</v>
      </c>
      <c r="O20" s="416">
        <v>1</v>
      </c>
      <c r="P20" s="287"/>
      <c r="Q20" s="66"/>
      <c r="R20" s="66"/>
      <c r="S20" s="66"/>
      <c r="T20" s="66"/>
    </row>
    <row r="21" spans="1:20" ht="13.5" customHeight="1">
      <c r="A21" s="223">
        <v>17</v>
      </c>
      <c r="B21" s="209" t="s">
        <v>174</v>
      </c>
      <c r="C21" s="173">
        <v>40459</v>
      </c>
      <c r="D21" s="246" t="s">
        <v>118</v>
      </c>
      <c r="E21" s="241">
        <v>142</v>
      </c>
      <c r="F21" s="241">
        <v>1</v>
      </c>
      <c r="G21" s="241">
        <v>18</v>
      </c>
      <c r="H21" s="191">
        <v>151</v>
      </c>
      <c r="I21" s="177">
        <v>24</v>
      </c>
      <c r="J21" s="170">
        <f t="shared" si="0"/>
        <v>24</v>
      </c>
      <c r="K21" s="192">
        <f t="shared" si="1"/>
        <v>6.291666666666667</v>
      </c>
      <c r="L21" s="193">
        <f>569713+434829.5+295345.5+223420+26108+12415.5+5998+1904+1368+799+648+306+1782+594+1782+1425.5+3089+151</f>
        <v>1581678</v>
      </c>
      <c r="M21" s="169">
        <f>61050+47827+36467+29781+4601+2405+1000+284+287+123+103+51+445+113+446+267+708+24</f>
        <v>185982</v>
      </c>
      <c r="N21" s="210">
        <f t="shared" si="2"/>
        <v>8.504468174339452</v>
      </c>
      <c r="O21" s="268">
        <v>1</v>
      </c>
      <c r="P21" s="287"/>
      <c r="Q21" s="66"/>
      <c r="R21" s="66"/>
      <c r="S21" s="66"/>
      <c r="T21" s="66"/>
    </row>
    <row r="22" spans="1:20" ht="13.5" customHeight="1">
      <c r="A22" s="223">
        <v>18</v>
      </c>
      <c r="B22" s="374" t="s">
        <v>70</v>
      </c>
      <c r="C22" s="161">
        <v>40515</v>
      </c>
      <c r="D22" s="317" t="s">
        <v>24</v>
      </c>
      <c r="E22" s="243">
        <v>337</v>
      </c>
      <c r="F22" s="243">
        <v>349</v>
      </c>
      <c r="G22" s="243">
        <v>5</v>
      </c>
      <c r="H22" s="318">
        <v>1719523</v>
      </c>
      <c r="I22" s="176">
        <v>182375</v>
      </c>
      <c r="J22" s="163">
        <f aca="true" t="shared" si="3" ref="J22:J35">I22/F22</f>
        <v>522.5644699140402</v>
      </c>
      <c r="K22" s="319">
        <f t="shared" si="1"/>
        <v>9.4285017135024</v>
      </c>
      <c r="L22" s="320">
        <v>18655018</v>
      </c>
      <c r="M22" s="162">
        <v>1982618</v>
      </c>
      <c r="N22" s="375">
        <f aca="true" t="shared" si="4" ref="N22:N35">+L22/M22</f>
        <v>9.409285096776081</v>
      </c>
      <c r="O22" s="296">
        <v>1</v>
      </c>
      <c r="P22" s="287"/>
      <c r="Q22" s="66"/>
      <c r="R22" s="66"/>
      <c r="S22" s="66"/>
      <c r="T22" s="66"/>
    </row>
    <row r="23" spans="1:20" ht="13.5" customHeight="1">
      <c r="A23" s="223">
        <v>19</v>
      </c>
      <c r="B23" s="207" t="s">
        <v>87</v>
      </c>
      <c r="C23" s="161">
        <v>40515</v>
      </c>
      <c r="D23" s="317" t="s">
        <v>24</v>
      </c>
      <c r="E23" s="243">
        <v>337</v>
      </c>
      <c r="F23" s="243">
        <v>292</v>
      </c>
      <c r="G23" s="243">
        <v>6</v>
      </c>
      <c r="H23" s="188">
        <v>638062</v>
      </c>
      <c r="I23" s="176">
        <v>72167</v>
      </c>
      <c r="J23" s="163">
        <f t="shared" si="3"/>
        <v>247.1472602739726</v>
      </c>
      <c r="K23" s="189">
        <f t="shared" si="1"/>
        <v>8.841464935496834</v>
      </c>
      <c r="L23" s="190">
        <v>19293080</v>
      </c>
      <c r="M23" s="162">
        <v>2054938</v>
      </c>
      <c r="N23" s="208">
        <f t="shared" si="4"/>
        <v>9.388643355663286</v>
      </c>
      <c r="O23" s="296">
        <v>1</v>
      </c>
      <c r="P23" s="287"/>
      <c r="Q23" s="66"/>
      <c r="R23" s="66"/>
      <c r="S23" s="66"/>
      <c r="T23" s="66"/>
    </row>
    <row r="24" spans="1:20" ht="13.5" customHeight="1">
      <c r="A24" s="223">
        <v>20</v>
      </c>
      <c r="B24" s="211" t="s">
        <v>70</v>
      </c>
      <c r="C24" s="161">
        <v>40515</v>
      </c>
      <c r="D24" s="232" t="s">
        <v>24</v>
      </c>
      <c r="E24" s="231">
        <v>337</v>
      </c>
      <c r="F24" s="231">
        <v>128</v>
      </c>
      <c r="G24" s="231">
        <v>7</v>
      </c>
      <c r="H24" s="188">
        <v>271404</v>
      </c>
      <c r="I24" s="176">
        <v>30669</v>
      </c>
      <c r="J24" s="163">
        <f t="shared" si="3"/>
        <v>239.6015625</v>
      </c>
      <c r="K24" s="189">
        <f t="shared" si="1"/>
        <v>8.849457106524504</v>
      </c>
      <c r="L24" s="190">
        <v>19564484</v>
      </c>
      <c r="M24" s="162">
        <v>2085607</v>
      </c>
      <c r="N24" s="208">
        <f t="shared" si="4"/>
        <v>9.380714583332335</v>
      </c>
      <c r="O24" s="399">
        <v>1</v>
      </c>
      <c r="P24" s="288"/>
      <c r="Q24" s="66"/>
      <c r="R24" s="66"/>
      <c r="S24" s="66"/>
      <c r="T24" s="66"/>
    </row>
    <row r="25" spans="1:20" ht="13.5" customHeight="1">
      <c r="A25" s="223">
        <v>21</v>
      </c>
      <c r="B25" s="374" t="s">
        <v>87</v>
      </c>
      <c r="C25" s="161">
        <v>40515</v>
      </c>
      <c r="D25" s="244" t="s">
        <v>24</v>
      </c>
      <c r="E25" s="243">
        <v>337</v>
      </c>
      <c r="F25" s="243">
        <v>32</v>
      </c>
      <c r="G25" s="243">
        <v>8</v>
      </c>
      <c r="H25" s="188">
        <v>59187</v>
      </c>
      <c r="I25" s="176">
        <v>7792</v>
      </c>
      <c r="J25" s="163">
        <f t="shared" si="3"/>
        <v>243.5</v>
      </c>
      <c r="K25" s="189">
        <f t="shared" si="1"/>
        <v>7.595867556468172</v>
      </c>
      <c r="L25" s="190">
        <v>19623671</v>
      </c>
      <c r="M25" s="162">
        <v>2093399</v>
      </c>
      <c r="N25" s="208">
        <f t="shared" si="4"/>
        <v>9.374071068152798</v>
      </c>
      <c r="O25" s="268">
        <v>1</v>
      </c>
      <c r="P25" s="287"/>
      <c r="Q25" s="66"/>
      <c r="R25" s="66"/>
      <c r="S25" s="66"/>
      <c r="T25" s="66"/>
    </row>
    <row r="26" spans="1:20" ht="13.5" customHeight="1">
      <c r="A26" s="223">
        <v>22</v>
      </c>
      <c r="B26" s="211" t="s">
        <v>87</v>
      </c>
      <c r="C26" s="321">
        <v>40515</v>
      </c>
      <c r="D26" s="232" t="s">
        <v>24</v>
      </c>
      <c r="E26" s="231">
        <v>337</v>
      </c>
      <c r="F26" s="231">
        <v>3</v>
      </c>
      <c r="G26" s="231">
        <v>12</v>
      </c>
      <c r="H26" s="188">
        <v>7416</v>
      </c>
      <c r="I26" s="176">
        <v>1461</v>
      </c>
      <c r="J26" s="163">
        <f t="shared" si="3"/>
        <v>487</v>
      </c>
      <c r="K26" s="189">
        <f t="shared" si="1"/>
        <v>5.075975359342916</v>
      </c>
      <c r="L26" s="190">
        <v>19636508</v>
      </c>
      <c r="M26" s="162">
        <v>2095488</v>
      </c>
      <c r="N26" s="208">
        <f t="shared" si="4"/>
        <v>9.370852040193025</v>
      </c>
      <c r="O26" s="399">
        <v>1</v>
      </c>
      <c r="P26" s="287"/>
      <c r="Q26" s="66"/>
      <c r="R26" s="66"/>
      <c r="S26" s="66"/>
      <c r="T26" s="66"/>
    </row>
    <row r="27" spans="1:20" ht="13.5" customHeight="1">
      <c r="A27" s="223">
        <v>23</v>
      </c>
      <c r="B27" s="207" t="s">
        <v>87</v>
      </c>
      <c r="C27" s="161">
        <v>40515</v>
      </c>
      <c r="D27" s="244" t="s">
        <v>24</v>
      </c>
      <c r="E27" s="243">
        <v>337</v>
      </c>
      <c r="F27" s="243">
        <v>2</v>
      </c>
      <c r="G27" s="243">
        <v>17</v>
      </c>
      <c r="H27" s="188">
        <v>7143</v>
      </c>
      <c r="I27" s="176">
        <v>1422</v>
      </c>
      <c r="J27" s="163">
        <f t="shared" si="3"/>
        <v>711</v>
      </c>
      <c r="K27" s="189">
        <f t="shared" si="1"/>
        <v>5.023206751054852</v>
      </c>
      <c r="L27" s="190">
        <v>19652572</v>
      </c>
      <c r="M27" s="162">
        <v>2099644</v>
      </c>
      <c r="N27" s="208">
        <f t="shared" si="4"/>
        <v>9.359954354166707</v>
      </c>
      <c r="O27" s="423">
        <v>1</v>
      </c>
      <c r="P27" s="287"/>
      <c r="Q27" s="66"/>
      <c r="R27" s="66"/>
      <c r="S27" s="66"/>
      <c r="T27" s="66"/>
    </row>
    <row r="28" spans="1:20" ht="13.5" customHeight="1">
      <c r="A28" s="223">
        <v>24</v>
      </c>
      <c r="B28" s="207" t="s">
        <v>87</v>
      </c>
      <c r="C28" s="161">
        <v>40515</v>
      </c>
      <c r="D28" s="244" t="s">
        <v>24</v>
      </c>
      <c r="E28" s="243">
        <v>337</v>
      </c>
      <c r="F28" s="243">
        <v>6</v>
      </c>
      <c r="G28" s="243">
        <v>9</v>
      </c>
      <c r="H28" s="188">
        <v>3519</v>
      </c>
      <c r="I28" s="176">
        <v>429</v>
      </c>
      <c r="J28" s="163">
        <f t="shared" si="3"/>
        <v>71.5</v>
      </c>
      <c r="K28" s="189">
        <f t="shared" si="1"/>
        <v>8.202797202797203</v>
      </c>
      <c r="L28" s="190">
        <v>19627190</v>
      </c>
      <c r="M28" s="162">
        <v>2093828</v>
      </c>
      <c r="N28" s="208">
        <f t="shared" si="4"/>
        <v>9.373831088322442</v>
      </c>
      <c r="O28" s="268">
        <v>1</v>
      </c>
      <c r="P28" s="287"/>
      <c r="Q28" s="66"/>
      <c r="R28" s="66"/>
      <c r="S28" s="66"/>
      <c r="T28" s="66"/>
    </row>
    <row r="29" spans="1:20" ht="13.5" customHeight="1">
      <c r="A29" s="223">
        <v>25</v>
      </c>
      <c r="B29" s="211" t="s">
        <v>70</v>
      </c>
      <c r="C29" s="321">
        <v>40515</v>
      </c>
      <c r="D29" s="232" t="s">
        <v>24</v>
      </c>
      <c r="E29" s="231">
        <v>337</v>
      </c>
      <c r="F29" s="231">
        <v>1</v>
      </c>
      <c r="G29" s="231">
        <v>13</v>
      </c>
      <c r="H29" s="318">
        <v>2380</v>
      </c>
      <c r="I29" s="322">
        <v>476</v>
      </c>
      <c r="J29" s="323">
        <f t="shared" si="3"/>
        <v>476</v>
      </c>
      <c r="K29" s="319">
        <f t="shared" si="1"/>
        <v>5</v>
      </c>
      <c r="L29" s="320">
        <v>19638888</v>
      </c>
      <c r="M29" s="324">
        <v>2095964</v>
      </c>
      <c r="N29" s="375">
        <f t="shared" si="4"/>
        <v>9.369859405982163</v>
      </c>
      <c r="O29" s="399">
        <v>1</v>
      </c>
      <c r="P29" s="287"/>
      <c r="Q29" s="66"/>
      <c r="R29" s="66"/>
      <c r="S29" s="66"/>
      <c r="T29" s="66"/>
    </row>
    <row r="30" spans="1:20" ht="13.5" customHeight="1">
      <c r="A30" s="223">
        <v>26</v>
      </c>
      <c r="B30" s="207" t="s">
        <v>70</v>
      </c>
      <c r="C30" s="161">
        <v>40515</v>
      </c>
      <c r="D30" s="244" t="s">
        <v>24</v>
      </c>
      <c r="E30" s="243">
        <v>337</v>
      </c>
      <c r="F30" s="243">
        <v>1</v>
      </c>
      <c r="G30" s="243">
        <v>15</v>
      </c>
      <c r="H30" s="188">
        <v>2380</v>
      </c>
      <c r="I30" s="176">
        <v>476</v>
      </c>
      <c r="J30" s="163">
        <f t="shared" si="3"/>
        <v>476</v>
      </c>
      <c r="K30" s="189">
        <f t="shared" si="1"/>
        <v>5</v>
      </c>
      <c r="L30" s="190">
        <v>19643049</v>
      </c>
      <c r="M30" s="162">
        <v>2097746</v>
      </c>
      <c r="N30" s="208">
        <f t="shared" si="4"/>
        <v>9.363883425352736</v>
      </c>
      <c r="O30" s="268">
        <v>1</v>
      </c>
      <c r="P30" s="287"/>
      <c r="Q30" s="66"/>
      <c r="R30" s="66"/>
      <c r="S30" s="66"/>
      <c r="T30" s="66"/>
    </row>
    <row r="31" spans="1:20" ht="13.5" customHeight="1">
      <c r="A31" s="223">
        <v>27</v>
      </c>
      <c r="B31" s="211" t="s">
        <v>70</v>
      </c>
      <c r="C31" s="402">
        <v>40515</v>
      </c>
      <c r="D31" s="232" t="s">
        <v>24</v>
      </c>
      <c r="E31" s="231">
        <v>337</v>
      </c>
      <c r="F31" s="231">
        <v>1</v>
      </c>
      <c r="G31" s="231">
        <v>16</v>
      </c>
      <c r="H31" s="188">
        <v>2380</v>
      </c>
      <c r="I31" s="176">
        <v>476</v>
      </c>
      <c r="J31" s="163">
        <f t="shared" si="3"/>
        <v>476</v>
      </c>
      <c r="K31" s="403">
        <f t="shared" si="1"/>
        <v>5</v>
      </c>
      <c r="L31" s="190">
        <v>19645429</v>
      </c>
      <c r="M31" s="162">
        <v>2098222</v>
      </c>
      <c r="N31" s="407">
        <f t="shared" si="4"/>
        <v>9.362893440255608</v>
      </c>
      <c r="O31" s="399">
        <v>1</v>
      </c>
      <c r="P31" s="288"/>
      <c r="Q31" s="66"/>
      <c r="R31" s="66"/>
      <c r="S31" s="66"/>
      <c r="T31" s="66"/>
    </row>
    <row r="32" spans="1:20" ht="13.5" customHeight="1">
      <c r="A32" s="223">
        <v>28</v>
      </c>
      <c r="B32" s="207" t="s">
        <v>87</v>
      </c>
      <c r="C32" s="161">
        <v>40515</v>
      </c>
      <c r="D32" s="244" t="s">
        <v>24</v>
      </c>
      <c r="E32" s="243">
        <v>337</v>
      </c>
      <c r="F32" s="243">
        <v>1</v>
      </c>
      <c r="G32" s="243">
        <v>14</v>
      </c>
      <c r="H32" s="188">
        <v>1781</v>
      </c>
      <c r="I32" s="176">
        <v>1306</v>
      </c>
      <c r="J32" s="163">
        <f t="shared" si="3"/>
        <v>1306</v>
      </c>
      <c r="K32" s="189">
        <f t="shared" si="1"/>
        <v>1.3637059724349159</v>
      </c>
      <c r="L32" s="190">
        <v>19640669</v>
      </c>
      <c r="M32" s="162">
        <v>2097270</v>
      </c>
      <c r="N32" s="208">
        <f t="shared" si="4"/>
        <v>9.364873859827298</v>
      </c>
      <c r="O32" s="296">
        <v>1</v>
      </c>
      <c r="P32" s="288"/>
      <c r="Q32" s="66"/>
      <c r="R32" s="66"/>
      <c r="S32" s="66"/>
      <c r="T32" s="66"/>
    </row>
    <row r="33" spans="1:20" ht="13.5" customHeight="1">
      <c r="A33" s="223">
        <v>29</v>
      </c>
      <c r="B33" s="211" t="s">
        <v>87</v>
      </c>
      <c r="C33" s="161">
        <v>40515</v>
      </c>
      <c r="D33" s="232" t="s">
        <v>24</v>
      </c>
      <c r="E33" s="231">
        <v>337</v>
      </c>
      <c r="F33" s="231">
        <v>3</v>
      </c>
      <c r="G33" s="231">
        <v>10</v>
      </c>
      <c r="H33" s="188">
        <v>1124</v>
      </c>
      <c r="I33" s="176">
        <v>121</v>
      </c>
      <c r="J33" s="163">
        <f t="shared" si="3"/>
        <v>40.333333333333336</v>
      </c>
      <c r="K33" s="189">
        <f t="shared" si="1"/>
        <v>9.289256198347108</v>
      </c>
      <c r="L33" s="190">
        <v>19628314</v>
      </c>
      <c r="M33" s="162">
        <v>2093949</v>
      </c>
      <c r="N33" s="208">
        <f t="shared" si="4"/>
        <v>9.37382620111569</v>
      </c>
      <c r="O33" s="415"/>
      <c r="P33" s="287"/>
      <c r="Q33" s="66"/>
      <c r="R33" s="66"/>
      <c r="S33" s="66"/>
      <c r="T33" s="66"/>
    </row>
    <row r="34" spans="1:20" ht="13.5" customHeight="1">
      <c r="A34" s="223">
        <v>30</v>
      </c>
      <c r="B34" s="207" t="s">
        <v>87</v>
      </c>
      <c r="C34" s="161">
        <v>40515</v>
      </c>
      <c r="D34" s="244" t="s">
        <v>24</v>
      </c>
      <c r="E34" s="243">
        <v>337</v>
      </c>
      <c r="F34" s="243">
        <v>2</v>
      </c>
      <c r="G34" s="243">
        <v>11</v>
      </c>
      <c r="H34" s="188">
        <v>778</v>
      </c>
      <c r="I34" s="176">
        <v>78</v>
      </c>
      <c r="J34" s="163">
        <f t="shared" si="3"/>
        <v>39</v>
      </c>
      <c r="K34" s="189">
        <f t="shared" si="1"/>
        <v>9.974358974358974</v>
      </c>
      <c r="L34" s="190">
        <v>19629092</v>
      </c>
      <c r="M34" s="162">
        <v>2094027</v>
      </c>
      <c r="N34" s="208">
        <f t="shared" si="4"/>
        <v>9.373848570242886</v>
      </c>
      <c r="O34" s="414">
        <v>1</v>
      </c>
      <c r="P34" s="287"/>
      <c r="Q34" s="66"/>
      <c r="R34" s="66"/>
      <c r="S34" s="66"/>
      <c r="T34" s="66"/>
    </row>
    <row r="35" spans="1:20" ht="13.5" customHeight="1">
      <c r="A35" s="223">
        <v>31</v>
      </c>
      <c r="B35" s="207" t="s">
        <v>87</v>
      </c>
      <c r="C35" s="161">
        <v>40515</v>
      </c>
      <c r="D35" s="244" t="s">
        <v>24</v>
      </c>
      <c r="E35" s="243">
        <v>337</v>
      </c>
      <c r="F35" s="243">
        <v>2</v>
      </c>
      <c r="G35" s="243">
        <v>18</v>
      </c>
      <c r="H35" s="188">
        <v>9524</v>
      </c>
      <c r="I35" s="176">
        <v>2381</v>
      </c>
      <c r="J35" s="163">
        <f t="shared" si="3"/>
        <v>1190.5</v>
      </c>
      <c r="K35" s="189">
        <f t="shared" si="1"/>
        <v>4</v>
      </c>
      <c r="L35" s="190">
        <v>19662096</v>
      </c>
      <c r="M35" s="162">
        <v>2102025</v>
      </c>
      <c r="N35" s="208">
        <f t="shared" si="4"/>
        <v>9.353883041352981</v>
      </c>
      <c r="O35" s="541">
        <v>1</v>
      </c>
      <c r="P35" s="287"/>
      <c r="Q35" s="66"/>
      <c r="R35" s="66"/>
      <c r="S35" s="66"/>
      <c r="T35" s="66"/>
    </row>
    <row r="36" spans="1:20" ht="13.5" customHeight="1">
      <c r="A36" s="223">
        <v>32</v>
      </c>
      <c r="B36" s="211" t="s">
        <v>106</v>
      </c>
      <c r="C36" s="161">
        <v>40249</v>
      </c>
      <c r="D36" s="232" t="s">
        <v>17</v>
      </c>
      <c r="E36" s="231">
        <v>116</v>
      </c>
      <c r="F36" s="231">
        <v>1</v>
      </c>
      <c r="G36" s="231">
        <v>30</v>
      </c>
      <c r="H36" s="197">
        <v>3020</v>
      </c>
      <c r="I36" s="181">
        <v>604</v>
      </c>
      <c r="J36" s="168">
        <f>+I36/F36</f>
        <v>604</v>
      </c>
      <c r="K36" s="195">
        <f>+H36/I36</f>
        <v>5</v>
      </c>
      <c r="L36" s="198">
        <f>1547543.25+3020+3020</f>
        <v>1553583.25</v>
      </c>
      <c r="M36" s="174">
        <f>209803+604+604</f>
        <v>211011</v>
      </c>
      <c r="N36" s="212">
        <f>IF(L36&lt;&gt;0,L36/M36,"")</f>
        <v>7.36256996080773</v>
      </c>
      <c r="O36" s="399">
        <v>1</v>
      </c>
      <c r="P36" s="288"/>
      <c r="Q36" s="66"/>
      <c r="R36" s="66"/>
      <c r="S36" s="66"/>
      <c r="T36" s="66"/>
    </row>
    <row r="37" spans="1:20" ht="13.5" customHeight="1">
      <c r="A37" s="223">
        <v>33</v>
      </c>
      <c r="B37" s="374" t="s">
        <v>12</v>
      </c>
      <c r="C37" s="161">
        <v>40466</v>
      </c>
      <c r="D37" s="317" t="s">
        <v>17</v>
      </c>
      <c r="E37" s="243">
        <v>10</v>
      </c>
      <c r="F37" s="243">
        <v>2</v>
      </c>
      <c r="G37" s="243">
        <v>7</v>
      </c>
      <c r="H37" s="325">
        <v>325</v>
      </c>
      <c r="I37" s="181">
        <v>44</v>
      </c>
      <c r="J37" s="168">
        <f>IF(H37&lt;&gt;0,I37/F37,"")</f>
        <v>22</v>
      </c>
      <c r="K37" s="326">
        <f>IF(H37&lt;&gt;0,H37/I37,"")</f>
        <v>7.386363636363637</v>
      </c>
      <c r="L37" s="327">
        <f>7088+2486+815+33+201+698+H37</f>
        <v>11646</v>
      </c>
      <c r="M37" s="165">
        <f>735+318+126+5+29+108+I37</f>
        <v>1365</v>
      </c>
      <c r="N37" s="376">
        <f>IF(L37&lt;&gt;0,L37/M37,"")</f>
        <v>8.531868131868132</v>
      </c>
      <c r="O37" s="268"/>
      <c r="P37" s="288"/>
      <c r="Q37" s="66"/>
      <c r="R37" s="66"/>
      <c r="S37" s="66"/>
      <c r="T37" s="66"/>
    </row>
    <row r="38" spans="1:20" ht="13.5" customHeight="1">
      <c r="A38" s="223">
        <v>34</v>
      </c>
      <c r="B38" s="211" t="s">
        <v>12</v>
      </c>
      <c r="C38" s="161">
        <v>40466</v>
      </c>
      <c r="D38" s="232" t="s">
        <v>17</v>
      </c>
      <c r="E38" s="231">
        <v>10</v>
      </c>
      <c r="F38" s="231">
        <v>1</v>
      </c>
      <c r="G38" s="231">
        <v>8</v>
      </c>
      <c r="H38" s="197">
        <v>251</v>
      </c>
      <c r="I38" s="181">
        <v>68</v>
      </c>
      <c r="J38" s="168">
        <f>IF(H38&lt;&gt;0,I38/F38,"")</f>
        <v>68</v>
      </c>
      <c r="K38" s="195">
        <f>IF(H38&lt;&gt;0,H38/I38,"")</f>
        <v>3.6911764705882355</v>
      </c>
      <c r="L38" s="198">
        <f>7088+2486+815+33+201+698+325+251</f>
        <v>11897</v>
      </c>
      <c r="M38" s="174">
        <f>735+318+126+5+29+108+44+68</f>
        <v>1433</v>
      </c>
      <c r="N38" s="212">
        <f>IF(L38&lt;&gt;0,L38/M38,"")</f>
        <v>8.302163293789253</v>
      </c>
      <c r="O38" s="399"/>
      <c r="P38" s="287"/>
      <c r="Q38" s="66"/>
      <c r="R38" s="66"/>
      <c r="S38" s="66"/>
      <c r="T38" s="66"/>
    </row>
    <row r="39" spans="1:20" ht="13.5" customHeight="1">
      <c r="A39" s="223">
        <v>35</v>
      </c>
      <c r="B39" s="240" t="s">
        <v>4</v>
      </c>
      <c r="C39" s="173">
        <v>40529</v>
      </c>
      <c r="D39" s="328" t="s">
        <v>90</v>
      </c>
      <c r="E39" s="233">
        <v>5</v>
      </c>
      <c r="F39" s="233">
        <v>5</v>
      </c>
      <c r="G39" s="233">
        <v>4</v>
      </c>
      <c r="H39" s="199">
        <v>4388</v>
      </c>
      <c r="I39" s="178">
        <v>375</v>
      </c>
      <c r="J39" s="166">
        <f aca="true" t="shared" si="5" ref="J39:J44">I39/F39</f>
        <v>75</v>
      </c>
      <c r="K39" s="200">
        <f aca="true" t="shared" si="6" ref="K39:K46">H39/I39</f>
        <v>11.701333333333332</v>
      </c>
      <c r="L39" s="201">
        <v>19557</v>
      </c>
      <c r="M39" s="166">
        <v>1795</v>
      </c>
      <c r="N39" s="214">
        <f aca="true" t="shared" si="7" ref="N39:N46">L39/M39</f>
        <v>10.895264623955432</v>
      </c>
      <c r="O39" s="399"/>
      <c r="P39" s="287"/>
      <c r="Q39" s="66"/>
      <c r="R39" s="66"/>
      <c r="S39" s="66"/>
      <c r="T39" s="66"/>
    </row>
    <row r="40" spans="1:20" ht="13.5" customHeight="1">
      <c r="A40" s="223">
        <v>36</v>
      </c>
      <c r="B40" s="377" t="s">
        <v>4</v>
      </c>
      <c r="C40" s="173">
        <v>40529</v>
      </c>
      <c r="D40" s="246" t="s">
        <v>90</v>
      </c>
      <c r="E40" s="473">
        <v>5</v>
      </c>
      <c r="F40" s="241">
        <v>3</v>
      </c>
      <c r="G40" s="473">
        <v>5</v>
      </c>
      <c r="H40" s="199">
        <v>3391</v>
      </c>
      <c r="I40" s="293">
        <v>400</v>
      </c>
      <c r="J40" s="166">
        <f t="shared" si="5"/>
        <v>133.33333333333334</v>
      </c>
      <c r="K40" s="294">
        <f t="shared" si="6"/>
        <v>8.4775</v>
      </c>
      <c r="L40" s="201">
        <v>22948</v>
      </c>
      <c r="M40" s="174">
        <v>2195</v>
      </c>
      <c r="N40" s="214">
        <f t="shared" si="7"/>
        <v>10.454669703872437</v>
      </c>
      <c r="O40" s="268"/>
      <c r="P40" s="287"/>
      <c r="Q40" s="66"/>
      <c r="R40" s="66"/>
      <c r="S40" s="66"/>
      <c r="T40" s="66"/>
    </row>
    <row r="41" spans="1:20" ht="13.5" customHeight="1">
      <c r="A41" s="223">
        <v>37</v>
      </c>
      <c r="B41" s="238" t="s">
        <v>4</v>
      </c>
      <c r="C41" s="329">
        <v>40529</v>
      </c>
      <c r="D41" s="328" t="s">
        <v>90</v>
      </c>
      <c r="E41" s="330">
        <v>5</v>
      </c>
      <c r="F41" s="330">
        <v>5</v>
      </c>
      <c r="G41" s="330">
        <v>6</v>
      </c>
      <c r="H41" s="331">
        <v>2708</v>
      </c>
      <c r="I41" s="332">
        <v>400</v>
      </c>
      <c r="J41" s="228">
        <f t="shared" si="5"/>
        <v>80</v>
      </c>
      <c r="K41" s="333">
        <f t="shared" si="6"/>
        <v>6.77</v>
      </c>
      <c r="L41" s="334">
        <v>25656</v>
      </c>
      <c r="M41" s="228">
        <v>2595</v>
      </c>
      <c r="N41" s="378">
        <f t="shared" si="7"/>
        <v>9.88670520231214</v>
      </c>
      <c r="O41" s="414"/>
      <c r="P41" s="287"/>
      <c r="Q41" s="66"/>
      <c r="R41" s="66"/>
      <c r="S41" s="66"/>
      <c r="T41" s="66"/>
    </row>
    <row r="42" spans="1:20" ht="13.5" customHeight="1">
      <c r="A42" s="223">
        <v>38</v>
      </c>
      <c r="B42" s="377" t="s">
        <v>4</v>
      </c>
      <c r="C42" s="173">
        <v>40529</v>
      </c>
      <c r="D42" s="328" t="s">
        <v>90</v>
      </c>
      <c r="E42" s="473">
        <v>5</v>
      </c>
      <c r="F42" s="241">
        <v>4</v>
      </c>
      <c r="G42" s="473">
        <v>3</v>
      </c>
      <c r="H42" s="335">
        <v>2473</v>
      </c>
      <c r="I42" s="293">
        <v>284</v>
      </c>
      <c r="J42" s="166">
        <f t="shared" si="5"/>
        <v>71</v>
      </c>
      <c r="K42" s="480">
        <f t="shared" si="6"/>
        <v>8.70774647887324</v>
      </c>
      <c r="L42" s="253">
        <v>15169</v>
      </c>
      <c r="M42" s="174">
        <v>1420</v>
      </c>
      <c r="N42" s="254">
        <f t="shared" si="7"/>
        <v>10.682394366197183</v>
      </c>
      <c r="O42" s="268"/>
      <c r="P42" s="287"/>
      <c r="Q42" s="66"/>
      <c r="R42" s="66"/>
      <c r="S42" s="66"/>
      <c r="T42" s="66"/>
    </row>
    <row r="43" spans="1:20" ht="13.5" customHeight="1">
      <c r="A43" s="223">
        <v>39</v>
      </c>
      <c r="B43" s="240" t="s">
        <v>4</v>
      </c>
      <c r="C43" s="258">
        <v>40529</v>
      </c>
      <c r="D43" s="328" t="s">
        <v>90</v>
      </c>
      <c r="E43" s="561">
        <v>5</v>
      </c>
      <c r="F43" s="233">
        <v>4</v>
      </c>
      <c r="G43" s="561">
        <v>7</v>
      </c>
      <c r="H43" s="199">
        <v>1031</v>
      </c>
      <c r="I43" s="293">
        <v>163</v>
      </c>
      <c r="J43" s="166">
        <f t="shared" si="5"/>
        <v>40.75</v>
      </c>
      <c r="K43" s="294">
        <f t="shared" si="6"/>
        <v>6.325153374233129</v>
      </c>
      <c r="L43" s="201">
        <v>26687</v>
      </c>
      <c r="M43" s="174">
        <v>2758</v>
      </c>
      <c r="N43" s="214">
        <f t="shared" si="7"/>
        <v>9.676214648295867</v>
      </c>
      <c r="O43" s="399"/>
      <c r="P43" s="288"/>
      <c r="Q43" s="66"/>
      <c r="R43" s="66"/>
      <c r="S43" s="66"/>
      <c r="T43" s="66"/>
    </row>
    <row r="44" spans="1:20" ht="13.5" customHeight="1">
      <c r="A44" s="223">
        <v>40</v>
      </c>
      <c r="B44" s="209" t="s">
        <v>4</v>
      </c>
      <c r="C44" s="173">
        <v>40529</v>
      </c>
      <c r="D44" s="246" t="s">
        <v>169</v>
      </c>
      <c r="E44" s="241">
        <v>5</v>
      </c>
      <c r="F44" s="241">
        <v>1</v>
      </c>
      <c r="G44" s="241">
        <v>8</v>
      </c>
      <c r="H44" s="199">
        <v>747</v>
      </c>
      <c r="I44" s="178">
        <v>103</v>
      </c>
      <c r="J44" s="166">
        <f t="shared" si="5"/>
        <v>103</v>
      </c>
      <c r="K44" s="200">
        <f t="shared" si="6"/>
        <v>7.252427184466019</v>
      </c>
      <c r="L44" s="201">
        <v>27434</v>
      </c>
      <c r="M44" s="166">
        <v>2861</v>
      </c>
      <c r="N44" s="214">
        <f t="shared" si="7"/>
        <v>9.588954910870324</v>
      </c>
      <c r="O44" s="296"/>
      <c r="P44" s="288"/>
      <c r="Q44" s="66"/>
      <c r="R44" s="66"/>
      <c r="S44" s="66"/>
      <c r="T44" s="66"/>
    </row>
    <row r="45" spans="1:20" ht="13.5" customHeight="1">
      <c r="A45" s="223">
        <v>41</v>
      </c>
      <c r="B45" s="240" t="s">
        <v>139</v>
      </c>
      <c r="C45" s="164">
        <v>40298</v>
      </c>
      <c r="D45" s="229" t="s">
        <v>118</v>
      </c>
      <c r="E45" s="230">
        <v>10</v>
      </c>
      <c r="F45" s="230">
        <v>1</v>
      </c>
      <c r="G45" s="230">
        <v>21</v>
      </c>
      <c r="H45" s="191">
        <v>1307</v>
      </c>
      <c r="I45" s="177">
        <v>327</v>
      </c>
      <c r="J45" s="170">
        <f>(I45/F45)</f>
        <v>327</v>
      </c>
      <c r="K45" s="192">
        <f t="shared" si="6"/>
        <v>3.996941896024465</v>
      </c>
      <c r="L45" s="193">
        <f>83892.5+865+192+477+220.5+1901+2138.5+1307</f>
        <v>90993.5</v>
      </c>
      <c r="M45" s="169">
        <f>10300+144+24+59+48+475+534+327</f>
        <v>11911</v>
      </c>
      <c r="N45" s="210">
        <f t="shared" si="7"/>
        <v>7.639450927713878</v>
      </c>
      <c r="O45" s="415"/>
      <c r="P45" s="287"/>
      <c r="Q45" s="66"/>
      <c r="R45" s="66"/>
      <c r="S45" s="66"/>
      <c r="T45" s="66"/>
    </row>
    <row r="46" spans="1:20" ht="13.5" customHeight="1">
      <c r="A46" s="223">
        <v>42</v>
      </c>
      <c r="B46" s="240" t="s">
        <v>139</v>
      </c>
      <c r="C46" s="257">
        <v>40298</v>
      </c>
      <c r="D46" s="229" t="s">
        <v>118</v>
      </c>
      <c r="E46" s="230">
        <v>10</v>
      </c>
      <c r="F46" s="230">
        <v>1</v>
      </c>
      <c r="G46" s="230">
        <v>22</v>
      </c>
      <c r="H46" s="191">
        <v>952</v>
      </c>
      <c r="I46" s="177">
        <v>238</v>
      </c>
      <c r="J46" s="170">
        <f>(I46/F46)</f>
        <v>238</v>
      </c>
      <c r="K46" s="192">
        <f t="shared" si="6"/>
        <v>4</v>
      </c>
      <c r="L46" s="193">
        <f>83892.5+865+192+477+220.5+1901+2138.5+1307+952</f>
        <v>91945.5</v>
      </c>
      <c r="M46" s="169">
        <f>10300+144+24+59+48+475+534+327+238</f>
        <v>12149</v>
      </c>
      <c r="N46" s="210">
        <f t="shared" si="7"/>
        <v>7.568153757510906</v>
      </c>
      <c r="O46" s="399"/>
      <c r="P46" s="287"/>
      <c r="Q46" s="66"/>
      <c r="R46" s="66"/>
      <c r="S46" s="66"/>
      <c r="T46" s="66"/>
    </row>
    <row r="47" spans="1:20" ht="13.5" customHeight="1">
      <c r="A47" s="223">
        <v>43</v>
      </c>
      <c r="B47" s="205" t="s">
        <v>205</v>
      </c>
      <c r="C47" s="164">
        <v>39577</v>
      </c>
      <c r="D47" s="242" t="s">
        <v>103</v>
      </c>
      <c r="E47" s="241">
        <v>11</v>
      </c>
      <c r="F47" s="241">
        <v>1</v>
      </c>
      <c r="G47" s="241">
        <v>19</v>
      </c>
      <c r="H47" s="234">
        <v>712</v>
      </c>
      <c r="I47" s="235">
        <v>142</v>
      </c>
      <c r="J47" s="251">
        <v>142</v>
      </c>
      <c r="K47" s="252">
        <v>5.014084507042254</v>
      </c>
      <c r="L47" s="237">
        <v>102695</v>
      </c>
      <c r="M47" s="236">
        <v>11305</v>
      </c>
      <c r="N47" s="267">
        <v>9.084033613445378</v>
      </c>
      <c r="O47" s="268"/>
      <c r="P47" s="287"/>
      <c r="Q47" s="66"/>
      <c r="R47" s="66"/>
      <c r="S47" s="66"/>
      <c r="T47" s="66"/>
    </row>
    <row r="48" spans="1:20" ht="13.5" customHeight="1">
      <c r="A48" s="223">
        <v>44</v>
      </c>
      <c r="B48" s="374" t="s">
        <v>64</v>
      </c>
      <c r="C48" s="161">
        <v>40452</v>
      </c>
      <c r="D48" s="317" t="s">
        <v>17</v>
      </c>
      <c r="E48" s="243">
        <v>148</v>
      </c>
      <c r="F48" s="243">
        <v>3</v>
      </c>
      <c r="G48" s="243">
        <v>14</v>
      </c>
      <c r="H48" s="325">
        <v>4104.5</v>
      </c>
      <c r="I48" s="181">
        <v>531</v>
      </c>
      <c r="J48" s="168">
        <f>IF(H48&lt;&gt;0,I48/F48,"")</f>
        <v>177</v>
      </c>
      <c r="K48" s="326">
        <f>IF(H48&lt;&gt;0,H48/I48,"")</f>
        <v>7.7297551789077215</v>
      </c>
      <c r="L48" s="327">
        <f>699440.5+93480+55329+21058.5+2054+5186.5+3036+2522+4090+1329+2064+2423+H48</f>
        <v>896117</v>
      </c>
      <c r="M48" s="165">
        <f>74937+13125+8283+3296+346+1058+497+365+749+203+322+349+531</f>
        <v>104061</v>
      </c>
      <c r="N48" s="376">
        <f>IF(L48&lt;&gt;0,L48/M48,"")</f>
        <v>8.611458663668426</v>
      </c>
      <c r="O48" s="268">
        <v>1</v>
      </c>
      <c r="P48" s="287"/>
      <c r="Q48" s="66"/>
      <c r="R48" s="66"/>
      <c r="S48" s="66"/>
      <c r="T48" s="66"/>
    </row>
    <row r="49" spans="1:20" ht="13.5" customHeight="1">
      <c r="A49" s="223">
        <v>45</v>
      </c>
      <c r="B49" s="207" t="s">
        <v>64</v>
      </c>
      <c r="C49" s="161">
        <v>40452</v>
      </c>
      <c r="D49" s="317" t="s">
        <v>17</v>
      </c>
      <c r="E49" s="243">
        <v>148</v>
      </c>
      <c r="F49" s="243">
        <v>1</v>
      </c>
      <c r="G49" s="243">
        <v>15</v>
      </c>
      <c r="H49" s="197">
        <v>528</v>
      </c>
      <c r="I49" s="181">
        <v>88</v>
      </c>
      <c r="J49" s="168">
        <f>IF(H49&lt;&gt;0,I49/F49,"")</f>
        <v>88</v>
      </c>
      <c r="K49" s="195">
        <f>IF(H49&lt;&gt;0,H49/I49,"")</f>
        <v>6</v>
      </c>
      <c r="L49" s="198">
        <f>896117+528</f>
        <v>896645</v>
      </c>
      <c r="M49" s="165">
        <f>104061+88</f>
        <v>104149</v>
      </c>
      <c r="N49" s="212">
        <f>IF(L49&lt;&gt;0,L49/M49,"")</f>
        <v>8.609252129161106</v>
      </c>
      <c r="O49" s="296">
        <v>1</v>
      </c>
      <c r="P49" s="287"/>
      <c r="Q49" s="66"/>
      <c r="R49" s="66"/>
      <c r="S49" s="66"/>
      <c r="T49" s="66"/>
    </row>
    <row r="50" spans="1:20" ht="13.5" customHeight="1">
      <c r="A50" s="223">
        <v>46</v>
      </c>
      <c r="B50" s="374" t="s">
        <v>64</v>
      </c>
      <c r="C50" s="161">
        <v>40452</v>
      </c>
      <c r="D50" s="244" t="s">
        <v>17</v>
      </c>
      <c r="E50" s="243">
        <v>148</v>
      </c>
      <c r="F50" s="243">
        <v>1</v>
      </c>
      <c r="G50" s="243">
        <v>17</v>
      </c>
      <c r="H50" s="197">
        <v>468</v>
      </c>
      <c r="I50" s="181">
        <v>78</v>
      </c>
      <c r="J50" s="168">
        <f>IF(H50&lt;&gt;0,I50/F50,"")</f>
        <v>78</v>
      </c>
      <c r="K50" s="195">
        <f>IF(H50&lt;&gt;0,H50/I50,"")</f>
        <v>6</v>
      </c>
      <c r="L50" s="198">
        <f>896117+528+390+468</f>
        <v>897503</v>
      </c>
      <c r="M50" s="165">
        <f>104061+88+65+78</f>
        <v>104292</v>
      </c>
      <c r="N50" s="212">
        <f>IF(L50&lt;&gt;0,L50/M50,"")</f>
        <v>8.605674452498754</v>
      </c>
      <c r="O50" s="296">
        <v>1</v>
      </c>
      <c r="P50" s="287"/>
      <c r="Q50" s="66"/>
      <c r="R50" s="66"/>
      <c r="S50" s="66"/>
      <c r="T50" s="66"/>
    </row>
    <row r="51" spans="1:20" ht="13.5" customHeight="1">
      <c r="A51" s="223">
        <v>47</v>
      </c>
      <c r="B51" s="211" t="s">
        <v>64</v>
      </c>
      <c r="C51" s="161">
        <v>40452</v>
      </c>
      <c r="D51" s="232" t="s">
        <v>17</v>
      </c>
      <c r="E51" s="231">
        <v>148</v>
      </c>
      <c r="F51" s="231">
        <v>1</v>
      </c>
      <c r="G51" s="231">
        <v>16</v>
      </c>
      <c r="H51" s="197">
        <v>390</v>
      </c>
      <c r="I51" s="181">
        <v>65</v>
      </c>
      <c r="J51" s="168">
        <f>+I51/F51</f>
        <v>65</v>
      </c>
      <c r="K51" s="195">
        <f>+H51/I51</f>
        <v>6</v>
      </c>
      <c r="L51" s="198">
        <f>896117+528+390</f>
        <v>897035</v>
      </c>
      <c r="M51" s="165">
        <f>104061+88+65</f>
        <v>104214</v>
      </c>
      <c r="N51" s="212">
        <f>IF(L51&lt;&gt;0,L51/M51,"")</f>
        <v>8.607624695338439</v>
      </c>
      <c r="O51" s="399">
        <v>1</v>
      </c>
      <c r="P51" s="288"/>
      <c r="Q51" s="66"/>
      <c r="R51" s="66"/>
      <c r="S51" s="66"/>
      <c r="T51" s="66"/>
    </row>
    <row r="52" spans="1:20" ht="13.5" customHeight="1">
      <c r="A52" s="223">
        <v>48</v>
      </c>
      <c r="B52" s="371" t="s">
        <v>14</v>
      </c>
      <c r="C52" s="164">
        <v>40473</v>
      </c>
      <c r="D52" s="229" t="s">
        <v>118</v>
      </c>
      <c r="E52" s="241">
        <v>28</v>
      </c>
      <c r="F52" s="241">
        <v>1</v>
      </c>
      <c r="G52" s="241">
        <v>12</v>
      </c>
      <c r="H52" s="191">
        <v>2675</v>
      </c>
      <c r="I52" s="177">
        <v>301</v>
      </c>
      <c r="J52" s="170">
        <f>(I52/F52)</f>
        <v>301</v>
      </c>
      <c r="K52" s="192">
        <f>H52/I52</f>
        <v>8.887043189368772</v>
      </c>
      <c r="L52" s="193">
        <f>152569.5+122205.5+10562+6863.5+9619+5655+1726.5+3593+4508+310+2166+2675</f>
        <v>322453</v>
      </c>
      <c r="M52" s="169">
        <f>12992+10278+1201+886+1535+877+246+644+1351+56+302+301</f>
        <v>30669</v>
      </c>
      <c r="N52" s="210">
        <f>L52/M52</f>
        <v>10.51397176301803</v>
      </c>
      <c r="O52" s="268"/>
      <c r="P52" s="288"/>
      <c r="Q52" s="66"/>
      <c r="R52" s="66"/>
      <c r="S52" s="66"/>
      <c r="T52" s="66"/>
    </row>
    <row r="53" spans="1:20" ht="13.5" customHeight="1">
      <c r="A53" s="223">
        <v>49</v>
      </c>
      <c r="B53" s="371" t="s">
        <v>14</v>
      </c>
      <c r="C53" s="164">
        <v>40473</v>
      </c>
      <c r="D53" s="229" t="s">
        <v>118</v>
      </c>
      <c r="E53" s="241">
        <v>28</v>
      </c>
      <c r="F53" s="241">
        <v>3</v>
      </c>
      <c r="G53" s="241">
        <v>11</v>
      </c>
      <c r="H53" s="304">
        <v>2166</v>
      </c>
      <c r="I53" s="177">
        <v>302</v>
      </c>
      <c r="J53" s="170">
        <f>(I53/F53)</f>
        <v>100.66666666666667</v>
      </c>
      <c r="K53" s="311">
        <f>H53/I53</f>
        <v>7.172185430463577</v>
      </c>
      <c r="L53" s="184">
        <f>152569.5+122205.5+10562+6863.5+9619+5655+1726.5+3593+4508+310+2166</f>
        <v>319778</v>
      </c>
      <c r="M53" s="169">
        <f>12992+10278+1201+886+1535+877+246+644+1351+56+302</f>
        <v>30368</v>
      </c>
      <c r="N53" s="185">
        <f>L53/M53</f>
        <v>10.53009747102213</v>
      </c>
      <c r="O53" s="268">
        <v>1</v>
      </c>
      <c r="P53" s="287"/>
      <c r="Q53" s="66"/>
      <c r="R53" s="66"/>
      <c r="S53" s="66"/>
      <c r="T53" s="66"/>
    </row>
    <row r="54" spans="1:20" ht="13.5" customHeight="1">
      <c r="A54" s="223">
        <v>50</v>
      </c>
      <c r="B54" s="205" t="s">
        <v>14</v>
      </c>
      <c r="C54" s="164">
        <v>40473</v>
      </c>
      <c r="D54" s="229" t="s">
        <v>118</v>
      </c>
      <c r="E54" s="241">
        <v>28</v>
      </c>
      <c r="F54" s="241">
        <v>1</v>
      </c>
      <c r="G54" s="241">
        <v>13</v>
      </c>
      <c r="H54" s="191">
        <v>594</v>
      </c>
      <c r="I54" s="177">
        <v>115</v>
      </c>
      <c r="J54" s="170">
        <f>(I54/F54)</f>
        <v>115</v>
      </c>
      <c r="K54" s="192">
        <f>H54/I54</f>
        <v>5.165217391304348</v>
      </c>
      <c r="L54" s="193">
        <f>152569.5+122205.5+10562+6863.5+9619+5655+1726.5+3593+4508+310+2166+2675+594</f>
        <v>323047</v>
      </c>
      <c r="M54" s="169">
        <f>12992+10278+1201+886+1535+877+246+644+1351+56+302+301+115</f>
        <v>30784</v>
      </c>
      <c r="N54" s="210">
        <f>L54/M54</f>
        <v>10.493990384615385</v>
      </c>
      <c r="O54" s="268"/>
      <c r="P54" s="287"/>
      <c r="Q54" s="66"/>
      <c r="R54" s="66"/>
      <c r="S54" s="66"/>
      <c r="T54" s="66"/>
    </row>
    <row r="55" spans="1:20" ht="13.5" customHeight="1">
      <c r="A55" s="223">
        <v>51</v>
      </c>
      <c r="B55" s="205" t="s">
        <v>14</v>
      </c>
      <c r="C55" s="164">
        <v>40473</v>
      </c>
      <c r="D55" s="242" t="s">
        <v>118</v>
      </c>
      <c r="E55" s="241">
        <v>28</v>
      </c>
      <c r="F55" s="241">
        <v>1</v>
      </c>
      <c r="G55" s="241">
        <v>14</v>
      </c>
      <c r="H55" s="191">
        <v>555.5</v>
      </c>
      <c r="I55" s="177">
        <v>69</v>
      </c>
      <c r="J55" s="170">
        <f>(I55/F55)</f>
        <v>69</v>
      </c>
      <c r="K55" s="192">
        <f>H55/I55</f>
        <v>8.05072463768116</v>
      </c>
      <c r="L55" s="193">
        <f>152569.5+122205.5+10562+6863.5+9619+5655+1726.5+3593+4508+310+2166+2675+594+555.5</f>
        <v>323602.5</v>
      </c>
      <c r="M55" s="169">
        <f>12992+10278+1201+886+1535+877+246+644+1351+56+302+301+115+69</f>
        <v>30853</v>
      </c>
      <c r="N55" s="210">
        <f>L55/M55</f>
        <v>10.488526237318899</v>
      </c>
      <c r="O55" s="296"/>
      <c r="P55" s="287"/>
      <c r="Q55" s="66"/>
      <c r="R55" s="66"/>
      <c r="S55" s="66"/>
      <c r="T55" s="66"/>
    </row>
    <row r="56" spans="1:20" ht="13.5" customHeight="1">
      <c r="A56" s="223">
        <v>52</v>
      </c>
      <c r="B56" s="205" t="s">
        <v>135</v>
      </c>
      <c r="C56" s="164">
        <v>40333</v>
      </c>
      <c r="D56" s="229" t="s">
        <v>118</v>
      </c>
      <c r="E56" s="241">
        <v>5</v>
      </c>
      <c r="F56" s="241">
        <v>1</v>
      </c>
      <c r="G56" s="241">
        <v>17</v>
      </c>
      <c r="H56" s="191">
        <v>950.5</v>
      </c>
      <c r="I56" s="177">
        <v>238</v>
      </c>
      <c r="J56" s="170">
        <f>(I56/F56)</f>
        <v>238</v>
      </c>
      <c r="K56" s="192">
        <f>H56/I56</f>
        <v>3.9936974789915967</v>
      </c>
      <c r="L56" s="193">
        <f>36730.5+564+1413+1445+1680+605+2036+437+950.5</f>
        <v>45861</v>
      </c>
      <c r="M56" s="169">
        <f>3877+97+237+234+280+110+317+78+238</f>
        <v>5468</v>
      </c>
      <c r="N56" s="210">
        <f>L56/M56</f>
        <v>8.38716166788588</v>
      </c>
      <c r="O56" s="268"/>
      <c r="P56" s="287"/>
      <c r="Q56" s="66"/>
      <c r="R56" s="66"/>
      <c r="S56" s="66"/>
      <c r="T56" s="66"/>
    </row>
    <row r="57" spans="1:20" ht="13.5" customHeight="1">
      <c r="A57" s="223">
        <v>53</v>
      </c>
      <c r="B57" s="205" t="s">
        <v>204</v>
      </c>
      <c r="C57" s="164">
        <v>40123</v>
      </c>
      <c r="D57" s="242" t="s">
        <v>103</v>
      </c>
      <c r="E57" s="241">
        <v>25</v>
      </c>
      <c r="F57" s="241">
        <v>1</v>
      </c>
      <c r="G57" s="241">
        <v>15</v>
      </c>
      <c r="H57" s="234">
        <v>712</v>
      </c>
      <c r="I57" s="235">
        <v>142</v>
      </c>
      <c r="J57" s="251">
        <v>142</v>
      </c>
      <c r="K57" s="252">
        <v>5.014084507042254</v>
      </c>
      <c r="L57" s="237">
        <v>274310</v>
      </c>
      <c r="M57" s="236">
        <v>22843</v>
      </c>
      <c r="N57" s="267">
        <v>12.008492754892089</v>
      </c>
      <c r="O57" s="268"/>
      <c r="P57" s="287"/>
      <c r="Q57" s="66"/>
      <c r="R57" s="66"/>
      <c r="S57" s="66"/>
      <c r="T57" s="66"/>
    </row>
    <row r="58" spans="1:20" ht="13.5" customHeight="1">
      <c r="A58" s="223">
        <v>54</v>
      </c>
      <c r="B58" s="240" t="s">
        <v>154</v>
      </c>
      <c r="C58" s="257">
        <v>40102</v>
      </c>
      <c r="D58" s="229" t="s">
        <v>118</v>
      </c>
      <c r="E58" s="230">
        <v>22</v>
      </c>
      <c r="F58" s="230">
        <v>1</v>
      </c>
      <c r="G58" s="230">
        <v>13</v>
      </c>
      <c r="H58" s="191">
        <v>952</v>
      </c>
      <c r="I58" s="177">
        <v>238</v>
      </c>
      <c r="J58" s="170">
        <f>(I58/F58)</f>
        <v>238</v>
      </c>
      <c r="K58" s="192">
        <f aca="true" t="shared" si="8" ref="K58:K76">H58/I58</f>
        <v>4</v>
      </c>
      <c r="L58" s="193">
        <f>129717.5+110957+18478+6527+6853.5+1081.5+738.5+250+165+404+829.5+186+952</f>
        <v>277139.5</v>
      </c>
      <c r="M58" s="169">
        <f>10402+8975+1885+691+1109+369+262+48+23+69+109+24+238</f>
        <v>24204</v>
      </c>
      <c r="N58" s="210">
        <f>L58/M58</f>
        <v>11.450152867294662</v>
      </c>
      <c r="O58" s="399"/>
      <c r="P58" s="288"/>
      <c r="Q58" s="66"/>
      <c r="R58" s="66"/>
      <c r="S58" s="66"/>
      <c r="T58" s="66"/>
    </row>
    <row r="59" spans="1:20" ht="13.5" customHeight="1">
      <c r="A59" s="223">
        <v>55</v>
      </c>
      <c r="B59" s="379" t="s">
        <v>67</v>
      </c>
      <c r="C59" s="161">
        <v>40529</v>
      </c>
      <c r="D59" s="336" t="s">
        <v>25</v>
      </c>
      <c r="E59" s="231">
        <v>81</v>
      </c>
      <c r="F59" s="231">
        <v>69</v>
      </c>
      <c r="G59" s="231">
        <v>3</v>
      </c>
      <c r="H59" s="337">
        <v>90040</v>
      </c>
      <c r="I59" s="179">
        <v>10688</v>
      </c>
      <c r="J59" s="172">
        <f>I59/F59</f>
        <v>154.8985507246377</v>
      </c>
      <c r="K59" s="338">
        <f t="shared" si="8"/>
        <v>8.42440119760479</v>
      </c>
      <c r="L59" s="339">
        <v>472298</v>
      </c>
      <c r="M59" s="171">
        <v>55934</v>
      </c>
      <c r="N59" s="380">
        <f>+L59/M59</f>
        <v>8.443844531054458</v>
      </c>
      <c r="O59" s="268"/>
      <c r="P59" s="287"/>
      <c r="Q59" s="66"/>
      <c r="R59" s="66"/>
      <c r="S59" s="66"/>
      <c r="T59" s="66"/>
    </row>
    <row r="60" spans="1:20" ht="13.5" customHeight="1">
      <c r="A60" s="223">
        <v>56</v>
      </c>
      <c r="B60" s="211" t="s">
        <v>67</v>
      </c>
      <c r="C60" s="161">
        <v>40529</v>
      </c>
      <c r="D60" s="232" t="s">
        <v>25</v>
      </c>
      <c r="E60" s="231">
        <v>81</v>
      </c>
      <c r="F60" s="231">
        <v>5</v>
      </c>
      <c r="G60" s="231">
        <v>5</v>
      </c>
      <c r="H60" s="202">
        <v>5631</v>
      </c>
      <c r="I60" s="179">
        <v>879</v>
      </c>
      <c r="J60" s="172">
        <f>I60/F60</f>
        <v>175.8</v>
      </c>
      <c r="K60" s="203">
        <f t="shared" si="8"/>
        <v>6.406143344709897</v>
      </c>
      <c r="L60" s="204">
        <v>478360</v>
      </c>
      <c r="M60" s="171">
        <v>56856</v>
      </c>
      <c r="N60" s="215">
        <f>+L60/M60</f>
        <v>8.413535950471367</v>
      </c>
      <c r="O60" s="414">
        <v>1</v>
      </c>
      <c r="P60" s="287"/>
      <c r="Q60" s="66"/>
      <c r="R60" s="66"/>
      <c r="S60" s="66"/>
      <c r="T60" s="66"/>
    </row>
    <row r="61" spans="1:20" ht="13.5" customHeight="1">
      <c r="A61" s="223">
        <v>57</v>
      </c>
      <c r="B61" s="379" t="s">
        <v>67</v>
      </c>
      <c r="C61" s="161">
        <v>40529</v>
      </c>
      <c r="D61" s="232" t="s">
        <v>25</v>
      </c>
      <c r="E61" s="231">
        <v>81</v>
      </c>
      <c r="F61" s="231">
        <v>4</v>
      </c>
      <c r="G61" s="231">
        <v>6</v>
      </c>
      <c r="H61" s="202">
        <v>2875</v>
      </c>
      <c r="I61" s="179">
        <v>650</v>
      </c>
      <c r="J61" s="170">
        <f>(I61/F61)</f>
        <v>162.5</v>
      </c>
      <c r="K61" s="192">
        <f t="shared" si="8"/>
        <v>4.423076923076923</v>
      </c>
      <c r="L61" s="204">
        <v>481235</v>
      </c>
      <c r="M61" s="171">
        <v>57506</v>
      </c>
      <c r="N61" s="210">
        <f>L61/M61</f>
        <v>8.368431120230932</v>
      </c>
      <c r="O61" s="268">
        <v>1</v>
      </c>
      <c r="P61" s="287"/>
      <c r="Q61" s="66"/>
      <c r="R61" s="66"/>
      <c r="S61" s="66"/>
      <c r="T61" s="66"/>
    </row>
    <row r="62" spans="1:20" ht="13.5" customHeight="1">
      <c r="A62" s="223">
        <v>58</v>
      </c>
      <c r="B62" s="211" t="s">
        <v>67</v>
      </c>
      <c r="C62" s="161">
        <v>40529</v>
      </c>
      <c r="D62" s="232" t="s">
        <v>25</v>
      </c>
      <c r="E62" s="231">
        <v>81</v>
      </c>
      <c r="F62" s="231">
        <v>2</v>
      </c>
      <c r="G62" s="231">
        <v>7</v>
      </c>
      <c r="H62" s="202">
        <v>2351</v>
      </c>
      <c r="I62" s="179">
        <v>769</v>
      </c>
      <c r="J62" s="172">
        <f>I62/F62</f>
        <v>384.5</v>
      </c>
      <c r="K62" s="203">
        <f t="shared" si="8"/>
        <v>3.057217165149545</v>
      </c>
      <c r="L62" s="204">
        <v>483585</v>
      </c>
      <c r="M62" s="171">
        <v>58275</v>
      </c>
      <c r="N62" s="208">
        <f>+L62/M62</f>
        <v>8.298326898326899</v>
      </c>
      <c r="O62" s="268">
        <v>1</v>
      </c>
      <c r="P62" s="287"/>
      <c r="Q62" s="66"/>
      <c r="R62" s="66"/>
      <c r="S62" s="66"/>
      <c r="T62" s="66"/>
    </row>
    <row r="63" spans="1:20" ht="13.5" customHeight="1">
      <c r="A63" s="223">
        <v>59</v>
      </c>
      <c r="B63" s="211" t="s">
        <v>67</v>
      </c>
      <c r="C63" s="161">
        <v>40529</v>
      </c>
      <c r="D63" s="232" t="s">
        <v>25</v>
      </c>
      <c r="E63" s="231">
        <v>81</v>
      </c>
      <c r="F63" s="231">
        <v>1</v>
      </c>
      <c r="G63" s="231">
        <v>8</v>
      </c>
      <c r="H63" s="202">
        <v>997</v>
      </c>
      <c r="I63" s="179">
        <v>367</v>
      </c>
      <c r="J63" s="172">
        <f>I63/F63</f>
        <v>367</v>
      </c>
      <c r="K63" s="203">
        <f t="shared" si="8"/>
        <v>2.7166212534059944</v>
      </c>
      <c r="L63" s="204">
        <v>485472</v>
      </c>
      <c r="M63" s="171">
        <v>58973</v>
      </c>
      <c r="N63" s="215">
        <f>+L63/M63</f>
        <v>8.232106218099808</v>
      </c>
      <c r="O63" s="415"/>
      <c r="P63" s="287"/>
      <c r="Q63" s="66"/>
      <c r="R63" s="66"/>
      <c r="S63" s="66"/>
      <c r="T63" s="66"/>
    </row>
    <row r="64" spans="1:20" ht="13.5" customHeight="1">
      <c r="A64" s="223">
        <v>60</v>
      </c>
      <c r="B64" s="211" t="s">
        <v>67</v>
      </c>
      <c r="C64" s="161">
        <v>40529</v>
      </c>
      <c r="D64" s="336" t="s">
        <v>25</v>
      </c>
      <c r="E64" s="231">
        <v>81</v>
      </c>
      <c r="F64" s="231">
        <v>5</v>
      </c>
      <c r="G64" s="231">
        <v>4</v>
      </c>
      <c r="H64" s="202">
        <v>431</v>
      </c>
      <c r="I64" s="179">
        <v>43</v>
      </c>
      <c r="J64" s="172">
        <f>I64/F64</f>
        <v>8.6</v>
      </c>
      <c r="K64" s="203">
        <f t="shared" si="8"/>
        <v>10.023255813953488</v>
      </c>
      <c r="L64" s="204">
        <v>472729</v>
      </c>
      <c r="M64" s="171">
        <v>55977</v>
      </c>
      <c r="N64" s="215">
        <f>+L64/M64</f>
        <v>8.445057791592976</v>
      </c>
      <c r="O64" s="296">
        <v>1</v>
      </c>
      <c r="P64" s="287"/>
      <c r="Q64" s="66"/>
      <c r="R64" s="66"/>
      <c r="S64" s="66"/>
      <c r="T64" s="66"/>
    </row>
    <row r="65" spans="1:20" ht="13.5" customHeight="1">
      <c r="A65" s="223">
        <v>61</v>
      </c>
      <c r="B65" s="211" t="s">
        <v>67</v>
      </c>
      <c r="C65" s="161">
        <v>40529</v>
      </c>
      <c r="D65" s="232" t="s">
        <v>25</v>
      </c>
      <c r="E65" s="231">
        <v>81</v>
      </c>
      <c r="F65" s="231">
        <v>1</v>
      </c>
      <c r="G65" s="231">
        <v>9</v>
      </c>
      <c r="H65" s="202">
        <v>427</v>
      </c>
      <c r="I65" s="179">
        <v>52</v>
      </c>
      <c r="J65" s="172">
        <f>I65/F65</f>
        <v>52</v>
      </c>
      <c r="K65" s="203">
        <f t="shared" si="8"/>
        <v>8.211538461538462</v>
      </c>
      <c r="L65" s="204">
        <v>484902</v>
      </c>
      <c r="M65" s="171">
        <v>58658</v>
      </c>
      <c r="N65" s="215">
        <f>+L65/M65</f>
        <v>8.266596201711616</v>
      </c>
      <c r="O65" s="414">
        <v>1</v>
      </c>
      <c r="P65" s="287"/>
      <c r="Q65" s="66"/>
      <c r="R65" s="66"/>
      <c r="S65" s="66"/>
      <c r="T65" s="66"/>
    </row>
    <row r="66" spans="1:20" ht="13.5" customHeight="1">
      <c r="A66" s="223">
        <v>62</v>
      </c>
      <c r="B66" s="211" t="s">
        <v>67</v>
      </c>
      <c r="C66" s="161">
        <v>40529</v>
      </c>
      <c r="D66" s="232" t="s">
        <v>25</v>
      </c>
      <c r="E66" s="231">
        <v>81</v>
      </c>
      <c r="F66" s="231">
        <v>1</v>
      </c>
      <c r="G66" s="231">
        <v>12</v>
      </c>
      <c r="H66" s="202">
        <v>176</v>
      </c>
      <c r="I66" s="179">
        <v>26</v>
      </c>
      <c r="J66" s="172">
        <f>I66/F66</f>
        <v>26</v>
      </c>
      <c r="K66" s="203">
        <f t="shared" si="8"/>
        <v>6.769230769230769</v>
      </c>
      <c r="L66" s="204">
        <v>487699</v>
      </c>
      <c r="M66" s="171">
        <v>59278</v>
      </c>
      <c r="N66" s="215">
        <f>+L66/M66</f>
        <v>8.227318735449915</v>
      </c>
      <c r="O66" s="296">
        <v>1</v>
      </c>
      <c r="P66" s="288"/>
      <c r="Q66" s="66"/>
      <c r="R66" s="66"/>
      <c r="S66" s="66"/>
      <c r="T66" s="66"/>
    </row>
    <row r="67" spans="1:20" ht="13.5" customHeight="1">
      <c r="A67" s="223">
        <v>63</v>
      </c>
      <c r="B67" s="371" t="s">
        <v>57</v>
      </c>
      <c r="C67" s="164">
        <v>40529</v>
      </c>
      <c r="D67" s="229" t="s">
        <v>118</v>
      </c>
      <c r="E67" s="241">
        <v>147</v>
      </c>
      <c r="F67" s="241">
        <v>147</v>
      </c>
      <c r="G67" s="241">
        <v>3</v>
      </c>
      <c r="H67" s="304">
        <v>518408</v>
      </c>
      <c r="I67" s="177">
        <v>61133</v>
      </c>
      <c r="J67" s="170">
        <f aca="true" t="shared" si="9" ref="J67:J76">(I67/F67)</f>
        <v>415.8707482993197</v>
      </c>
      <c r="K67" s="311">
        <f t="shared" si="8"/>
        <v>8.480002617244368</v>
      </c>
      <c r="L67" s="184">
        <f>691567.5+648414.5+518408</f>
        <v>1858390</v>
      </c>
      <c r="M67" s="169">
        <f>79327+75064+61133</f>
        <v>215524</v>
      </c>
      <c r="N67" s="185">
        <f aca="true" t="shared" si="10" ref="N67:N76">L67/M67</f>
        <v>8.622659193407694</v>
      </c>
      <c r="O67" s="425"/>
      <c r="P67" s="288"/>
      <c r="Q67" s="66"/>
      <c r="R67" s="66"/>
      <c r="S67" s="66"/>
      <c r="T67" s="66"/>
    </row>
    <row r="68" spans="1:20" ht="13.5" customHeight="1">
      <c r="A68" s="223">
        <v>64</v>
      </c>
      <c r="B68" s="205" t="s">
        <v>88</v>
      </c>
      <c r="C68" s="164">
        <v>40529</v>
      </c>
      <c r="D68" s="229" t="s">
        <v>118</v>
      </c>
      <c r="E68" s="241">
        <v>147</v>
      </c>
      <c r="F68" s="241">
        <v>70</v>
      </c>
      <c r="G68" s="241">
        <v>4</v>
      </c>
      <c r="H68" s="191">
        <v>71112.5</v>
      </c>
      <c r="I68" s="177">
        <v>10235</v>
      </c>
      <c r="J68" s="170">
        <f t="shared" si="9"/>
        <v>146.21428571428572</v>
      </c>
      <c r="K68" s="192">
        <f t="shared" si="8"/>
        <v>6.947972642892037</v>
      </c>
      <c r="L68" s="193">
        <f>691567.5+648414.5+518408+71112.5</f>
        <v>1929502.5</v>
      </c>
      <c r="M68" s="169">
        <f>79327+75064+61133+10235</f>
        <v>225759</v>
      </c>
      <c r="N68" s="210">
        <f t="shared" si="10"/>
        <v>8.546735678311828</v>
      </c>
      <c r="O68" s="297">
        <v>1</v>
      </c>
      <c r="P68" s="288"/>
      <c r="Q68" s="66"/>
      <c r="R68" s="66"/>
      <c r="S68" s="66"/>
      <c r="T68" s="66"/>
    </row>
    <row r="69" spans="1:20" ht="13.5" customHeight="1">
      <c r="A69" s="223">
        <v>65</v>
      </c>
      <c r="B69" s="372" t="s">
        <v>88</v>
      </c>
      <c r="C69" s="299">
        <v>40529</v>
      </c>
      <c r="D69" s="229" t="s">
        <v>118</v>
      </c>
      <c r="E69" s="301">
        <v>147</v>
      </c>
      <c r="F69" s="301">
        <v>41</v>
      </c>
      <c r="G69" s="301">
        <v>5</v>
      </c>
      <c r="H69" s="303">
        <v>45526</v>
      </c>
      <c r="I69" s="307">
        <v>7792</v>
      </c>
      <c r="J69" s="308">
        <f t="shared" si="9"/>
        <v>190.0487804878049</v>
      </c>
      <c r="K69" s="310">
        <f t="shared" si="8"/>
        <v>5.842659137577002</v>
      </c>
      <c r="L69" s="313">
        <f>691567.5+648414.5+518408+71321.5+45526</f>
        <v>1975237.5</v>
      </c>
      <c r="M69" s="314">
        <f>79327+75064+61133+10266+7792</f>
        <v>233582</v>
      </c>
      <c r="N69" s="373">
        <f t="shared" si="10"/>
        <v>8.456291580686868</v>
      </c>
      <c r="O69" s="416">
        <v>1</v>
      </c>
      <c r="P69" s="288"/>
      <c r="Q69" s="66"/>
      <c r="R69" s="66"/>
      <c r="S69" s="66"/>
      <c r="T69" s="66"/>
    </row>
    <row r="70" spans="1:20" ht="13.5" customHeight="1">
      <c r="A70" s="223">
        <v>66</v>
      </c>
      <c r="B70" s="371" t="s">
        <v>57</v>
      </c>
      <c r="C70" s="164">
        <v>40529</v>
      </c>
      <c r="D70" s="229" t="s">
        <v>118</v>
      </c>
      <c r="E70" s="241">
        <v>147</v>
      </c>
      <c r="F70" s="241">
        <v>18</v>
      </c>
      <c r="G70" s="241">
        <v>6</v>
      </c>
      <c r="H70" s="191">
        <v>17480</v>
      </c>
      <c r="I70" s="177">
        <v>4345</v>
      </c>
      <c r="J70" s="170">
        <f t="shared" si="9"/>
        <v>241.38888888888889</v>
      </c>
      <c r="K70" s="192">
        <f t="shared" si="8"/>
        <v>4.02301495972382</v>
      </c>
      <c r="L70" s="193">
        <f>691567.5+648414.5+518408+71321.5+45526+17480</f>
        <v>1992717.5</v>
      </c>
      <c r="M70" s="169">
        <f>79327+75064+61133+10266+7792+4345</f>
        <v>237927</v>
      </c>
      <c r="N70" s="210">
        <f t="shared" si="10"/>
        <v>8.375331509244432</v>
      </c>
      <c r="O70" s="268">
        <v>1</v>
      </c>
      <c r="P70" s="288"/>
      <c r="Q70" s="66"/>
      <c r="R70" s="66"/>
      <c r="S70" s="66"/>
      <c r="T70" s="66"/>
    </row>
    <row r="71" spans="1:20" ht="13.5" customHeight="1">
      <c r="A71" s="223">
        <v>67</v>
      </c>
      <c r="B71" s="205" t="s">
        <v>88</v>
      </c>
      <c r="C71" s="164">
        <v>40529</v>
      </c>
      <c r="D71" s="229" t="s">
        <v>118</v>
      </c>
      <c r="E71" s="241">
        <v>147</v>
      </c>
      <c r="F71" s="241">
        <v>7</v>
      </c>
      <c r="G71" s="241">
        <v>7</v>
      </c>
      <c r="H71" s="191">
        <v>7409</v>
      </c>
      <c r="I71" s="177">
        <v>1731</v>
      </c>
      <c r="J71" s="170">
        <f t="shared" si="9"/>
        <v>247.28571428571428</v>
      </c>
      <c r="K71" s="192">
        <f t="shared" si="8"/>
        <v>4.280184864240323</v>
      </c>
      <c r="L71" s="193">
        <f>691567.5+648414.5+518408+71321.5+45526+17480+7409</f>
        <v>2000126.5</v>
      </c>
      <c r="M71" s="169">
        <f>79327+75064+61133+10266+7792+4345+1731</f>
        <v>239658</v>
      </c>
      <c r="N71" s="210">
        <f t="shared" si="10"/>
        <v>8.345753114855336</v>
      </c>
      <c r="O71" s="268">
        <v>1</v>
      </c>
      <c r="P71" s="287"/>
      <c r="Q71" s="66"/>
      <c r="R71" s="66"/>
      <c r="S71" s="66"/>
      <c r="T71" s="66"/>
    </row>
    <row r="72" spans="1:20" ht="13.5" customHeight="1">
      <c r="A72" s="223">
        <v>68</v>
      </c>
      <c r="B72" s="240" t="s">
        <v>88</v>
      </c>
      <c r="C72" s="257">
        <v>40529</v>
      </c>
      <c r="D72" s="229" t="s">
        <v>118</v>
      </c>
      <c r="E72" s="230">
        <v>147</v>
      </c>
      <c r="F72" s="230">
        <v>7</v>
      </c>
      <c r="G72" s="230">
        <v>10</v>
      </c>
      <c r="H72" s="191">
        <v>5445.5</v>
      </c>
      <c r="I72" s="177">
        <v>1176</v>
      </c>
      <c r="J72" s="170">
        <f t="shared" si="9"/>
        <v>168</v>
      </c>
      <c r="K72" s="192">
        <f t="shared" si="8"/>
        <v>4.630527210884353</v>
      </c>
      <c r="L72" s="193">
        <f>691567.5+648414.5+518408+71321.5+45526+17480+7409+4406.5+1874+5445.5</f>
        <v>2011852.5</v>
      </c>
      <c r="M72" s="169">
        <f>79327+75064+61133+10266+7792+4345+1731+935+303+1176</f>
        <v>242072</v>
      </c>
      <c r="N72" s="210">
        <f t="shared" si="10"/>
        <v>8.310967398129483</v>
      </c>
      <c r="O72" s="399">
        <v>1</v>
      </c>
      <c r="P72" s="287"/>
      <c r="Q72" s="66"/>
      <c r="R72" s="66"/>
      <c r="S72" s="66"/>
      <c r="T72" s="66"/>
    </row>
    <row r="73" spans="1:20" ht="13.5" customHeight="1">
      <c r="A73" s="223">
        <v>69</v>
      </c>
      <c r="B73" s="240" t="s">
        <v>57</v>
      </c>
      <c r="C73" s="164">
        <v>40529</v>
      </c>
      <c r="D73" s="229" t="s">
        <v>118</v>
      </c>
      <c r="E73" s="230">
        <v>147</v>
      </c>
      <c r="F73" s="230">
        <v>4</v>
      </c>
      <c r="G73" s="230">
        <v>8</v>
      </c>
      <c r="H73" s="191">
        <v>4406.5</v>
      </c>
      <c r="I73" s="177">
        <v>935</v>
      </c>
      <c r="J73" s="170">
        <f t="shared" si="9"/>
        <v>233.75</v>
      </c>
      <c r="K73" s="192">
        <f t="shared" si="8"/>
        <v>4.7128342245989305</v>
      </c>
      <c r="L73" s="193">
        <f>691567.5+648414.5+518408+71321.5+45526+17480+7409+4406.5</f>
        <v>2004533</v>
      </c>
      <c r="M73" s="169">
        <f>79327+75064+61133+10266+7792+4345+1731+935</f>
        <v>240593</v>
      </c>
      <c r="N73" s="210">
        <f t="shared" si="10"/>
        <v>8.331634752465783</v>
      </c>
      <c r="O73" s="415"/>
      <c r="P73" s="287"/>
      <c r="Q73" s="66"/>
      <c r="R73" s="66"/>
      <c r="S73" s="66"/>
      <c r="T73" s="66"/>
    </row>
    <row r="74" spans="1:20" ht="13.5" customHeight="1">
      <c r="A74" s="223">
        <v>70</v>
      </c>
      <c r="B74" s="240" t="s">
        <v>88</v>
      </c>
      <c r="C74" s="257">
        <v>40529</v>
      </c>
      <c r="D74" s="229" t="s">
        <v>118</v>
      </c>
      <c r="E74" s="230">
        <v>147</v>
      </c>
      <c r="F74" s="230">
        <v>5</v>
      </c>
      <c r="G74" s="230">
        <v>11</v>
      </c>
      <c r="H74" s="304">
        <v>4027</v>
      </c>
      <c r="I74" s="315">
        <v>784</v>
      </c>
      <c r="J74" s="316">
        <f t="shared" si="9"/>
        <v>156.8</v>
      </c>
      <c r="K74" s="311">
        <f t="shared" si="8"/>
        <v>5.136479591836735</v>
      </c>
      <c r="L74" s="184">
        <f>691567.5+648414.5+518408+71321.5+45526+17480+7409+4406.5+1874+5613.5+4027</f>
        <v>2016047.5</v>
      </c>
      <c r="M74" s="266">
        <f>79327+75064+61133+10266+7792+4345+1731+935+303+1204+784</f>
        <v>242884</v>
      </c>
      <c r="N74" s="185">
        <f t="shared" si="10"/>
        <v>8.300454126249567</v>
      </c>
      <c r="O74" s="399">
        <v>1</v>
      </c>
      <c r="P74" s="287"/>
      <c r="Q74" s="66"/>
      <c r="R74" s="66"/>
      <c r="S74" s="66"/>
      <c r="T74" s="66"/>
    </row>
    <row r="75" spans="1:20" ht="13.5" customHeight="1">
      <c r="A75" s="223">
        <v>71</v>
      </c>
      <c r="B75" s="372" t="s">
        <v>57</v>
      </c>
      <c r="C75" s="299">
        <v>40529</v>
      </c>
      <c r="D75" s="229" t="s">
        <v>118</v>
      </c>
      <c r="E75" s="301">
        <v>147</v>
      </c>
      <c r="F75" s="301">
        <v>2</v>
      </c>
      <c r="G75" s="301">
        <v>9</v>
      </c>
      <c r="H75" s="303">
        <v>1874</v>
      </c>
      <c r="I75" s="307">
        <v>303</v>
      </c>
      <c r="J75" s="308">
        <f t="shared" si="9"/>
        <v>151.5</v>
      </c>
      <c r="K75" s="310">
        <f t="shared" si="8"/>
        <v>6.184818481848184</v>
      </c>
      <c r="L75" s="313">
        <f>691567.5+648414.5+518408+71321.5+45526+17480+7409+4406.5+1874</f>
        <v>2006407</v>
      </c>
      <c r="M75" s="314">
        <f>79327+75064+61133+10266+7792+4345+1731+935+303</f>
        <v>240896</v>
      </c>
      <c r="N75" s="373">
        <f t="shared" si="10"/>
        <v>8.328934477948991</v>
      </c>
      <c r="O75" s="414">
        <v>1</v>
      </c>
      <c r="P75" s="287"/>
      <c r="Q75" s="66"/>
      <c r="R75" s="66"/>
      <c r="S75" s="66"/>
      <c r="T75" s="66"/>
    </row>
    <row r="76" spans="1:20" ht="13.5" customHeight="1">
      <c r="A76" s="223">
        <v>72</v>
      </c>
      <c r="B76" s="205" t="s">
        <v>57</v>
      </c>
      <c r="C76" s="164">
        <v>40529</v>
      </c>
      <c r="D76" s="242" t="s">
        <v>118</v>
      </c>
      <c r="E76" s="241">
        <v>147</v>
      </c>
      <c r="F76" s="241">
        <v>3</v>
      </c>
      <c r="G76" s="241">
        <v>12</v>
      </c>
      <c r="H76" s="191">
        <v>1099</v>
      </c>
      <c r="I76" s="177">
        <v>172</v>
      </c>
      <c r="J76" s="170">
        <f t="shared" si="9"/>
        <v>57.333333333333336</v>
      </c>
      <c r="K76" s="192">
        <f t="shared" si="8"/>
        <v>6.3895348837209305</v>
      </c>
      <c r="L76" s="193">
        <f>691567.5+648414.5+518408+71321.5+45526+17480+7409+4406.5+1874+5613.5+4027+1099</f>
        <v>2017146.5</v>
      </c>
      <c r="M76" s="169">
        <f>79327+75064+61133+10266+7792+4345+1731+935+303+1204+784+172</f>
        <v>243056</v>
      </c>
      <c r="N76" s="210">
        <f t="shared" si="10"/>
        <v>8.299101853070898</v>
      </c>
      <c r="O76" s="296">
        <v>1</v>
      </c>
      <c r="P76" s="288"/>
      <c r="Q76" s="66"/>
      <c r="R76" s="66"/>
      <c r="S76" s="66"/>
      <c r="T76" s="66"/>
    </row>
    <row r="77" spans="1:20" ht="13.5" customHeight="1">
      <c r="A77" s="223">
        <v>73</v>
      </c>
      <c r="B77" s="467" t="s">
        <v>99</v>
      </c>
      <c r="C77" s="470">
        <v>40466</v>
      </c>
      <c r="D77" s="471" t="s">
        <v>26</v>
      </c>
      <c r="E77" s="474">
        <v>22</v>
      </c>
      <c r="F77" s="474">
        <v>19</v>
      </c>
      <c r="G77" s="474">
        <v>14</v>
      </c>
      <c r="H77" s="476">
        <v>11882</v>
      </c>
      <c r="I77" s="477">
        <v>1318</v>
      </c>
      <c r="J77" s="163">
        <v>69.36842105263158</v>
      </c>
      <c r="K77" s="189">
        <v>9.015174506828528</v>
      </c>
      <c r="L77" s="481">
        <v>233294</v>
      </c>
      <c r="M77" s="482">
        <v>24652</v>
      </c>
      <c r="N77" s="215">
        <v>9.463491805938666</v>
      </c>
      <c r="O77" s="484">
        <v>1</v>
      </c>
      <c r="P77" s="288"/>
      <c r="Q77" s="66"/>
      <c r="R77" s="66"/>
      <c r="S77" s="66"/>
      <c r="T77" s="66"/>
    </row>
    <row r="78" spans="1:20" ht="13.5" customHeight="1">
      <c r="A78" s="223">
        <v>74</v>
      </c>
      <c r="B78" s="371" t="s">
        <v>62</v>
      </c>
      <c r="C78" s="164">
        <v>40466</v>
      </c>
      <c r="D78" s="298" t="s">
        <v>26</v>
      </c>
      <c r="E78" s="241">
        <v>22</v>
      </c>
      <c r="F78" s="241">
        <v>1</v>
      </c>
      <c r="G78" s="241">
        <v>12</v>
      </c>
      <c r="H78" s="305">
        <v>2002</v>
      </c>
      <c r="I78" s="178">
        <v>232</v>
      </c>
      <c r="J78" s="168">
        <f>IF(H78&lt;&gt;0,I78/F78,"")</f>
        <v>232</v>
      </c>
      <c r="K78" s="326">
        <f>IF(H78&lt;&gt;0,H78/I78,"")</f>
        <v>8.629310344827585</v>
      </c>
      <c r="L78" s="253">
        <f>75899.5+52129.5+37227.5+14454+10905+6815+10220.5+4115+4193+1577.5+113+940+2002</f>
        <v>220591.5</v>
      </c>
      <c r="M78" s="165">
        <f>7028+5164+3832+1471+1190+1095+1727+519+460+216+17+109+232</f>
        <v>23060</v>
      </c>
      <c r="N78" s="376">
        <f>IF(L78&lt;&gt;0,L78/M78,"")</f>
        <v>9.565980052038162</v>
      </c>
      <c r="O78" s="268"/>
      <c r="P78" s="288"/>
      <c r="Q78" s="66"/>
      <c r="R78" s="66"/>
      <c r="S78" s="66"/>
      <c r="T78" s="66"/>
    </row>
    <row r="79" spans="1:20" ht="13.5" customHeight="1">
      <c r="A79" s="223">
        <v>75</v>
      </c>
      <c r="B79" s="205" t="s">
        <v>99</v>
      </c>
      <c r="C79" s="164">
        <v>40466</v>
      </c>
      <c r="D79" s="298" t="s">
        <v>26</v>
      </c>
      <c r="E79" s="241">
        <v>22</v>
      </c>
      <c r="F79" s="241">
        <v>1</v>
      </c>
      <c r="G79" s="241">
        <v>13</v>
      </c>
      <c r="H79" s="186">
        <v>820.5</v>
      </c>
      <c r="I79" s="178">
        <v>274</v>
      </c>
      <c r="J79" s="165">
        <f>I79/F79</f>
        <v>274</v>
      </c>
      <c r="K79" s="200">
        <f>H79/I79</f>
        <v>2.9945255474452557</v>
      </c>
      <c r="L79" s="187">
        <f>75899.5+52129.5+37227.5+14454+10905+6815+10220.5+4115+4193+1577.5+113+940+2002+820.5</f>
        <v>221412</v>
      </c>
      <c r="M79" s="165">
        <f>7028+5164+3832+1471+1190+1095+1727+519+460+216+17+109+232+274</f>
        <v>23334</v>
      </c>
      <c r="N79" s="206">
        <f>L79/M79</f>
        <v>9.48881460529699</v>
      </c>
      <c r="O79" s="296">
        <v>1</v>
      </c>
      <c r="P79" s="288"/>
      <c r="Q79" s="66"/>
      <c r="R79" s="66"/>
      <c r="S79" s="66"/>
      <c r="T79" s="66"/>
    </row>
    <row r="80" spans="1:20" ht="13.5" customHeight="1">
      <c r="A80" s="223">
        <v>76</v>
      </c>
      <c r="B80" s="205" t="s">
        <v>62</v>
      </c>
      <c r="C80" s="164">
        <v>40466</v>
      </c>
      <c r="D80" s="242" t="s">
        <v>26</v>
      </c>
      <c r="E80" s="241">
        <v>22</v>
      </c>
      <c r="F80" s="241">
        <v>3</v>
      </c>
      <c r="G80" s="241">
        <v>15</v>
      </c>
      <c r="H80" s="186">
        <v>1358</v>
      </c>
      <c r="I80" s="178">
        <v>127</v>
      </c>
      <c r="J80" s="165">
        <f>I80/F80</f>
        <v>42.333333333333336</v>
      </c>
      <c r="K80" s="200">
        <f>H80/I80</f>
        <v>10.692913385826772</v>
      </c>
      <c r="L80" s="187">
        <f>75899.5+52129.5+37227.5+14454+10905+6815+10220.5+4115+4193+1577.5+113+940+2002+820.5+11882+1358</f>
        <v>234652</v>
      </c>
      <c r="M80" s="165">
        <f>7028+5164+3832+1471+1190+1095+1727+519+460+216+17+109+232+274+1318+127</f>
        <v>24779</v>
      </c>
      <c r="N80" s="206">
        <f>L80/M80</f>
        <v>9.469792969853504</v>
      </c>
      <c r="O80" s="541">
        <v>1</v>
      </c>
      <c r="P80" s="288"/>
      <c r="Q80" s="66"/>
      <c r="R80" s="66"/>
      <c r="S80" s="66"/>
      <c r="T80" s="66"/>
    </row>
    <row r="81" spans="1:20" ht="13.5" customHeight="1">
      <c r="A81" s="223">
        <v>77</v>
      </c>
      <c r="B81" s="209" t="s">
        <v>96</v>
      </c>
      <c r="C81" s="164">
        <v>40424</v>
      </c>
      <c r="D81" s="300" t="s">
        <v>23</v>
      </c>
      <c r="E81" s="241">
        <v>107</v>
      </c>
      <c r="F81" s="241">
        <v>1</v>
      </c>
      <c r="G81" s="241">
        <v>19</v>
      </c>
      <c r="H81" s="186">
        <v>1204</v>
      </c>
      <c r="I81" s="178">
        <v>350</v>
      </c>
      <c r="J81" s="165">
        <f>I81/F81</f>
        <v>350</v>
      </c>
      <c r="K81" s="200">
        <f>+H81/I81</f>
        <v>3.44</v>
      </c>
      <c r="L81" s="187">
        <v>2166347</v>
      </c>
      <c r="M81" s="166">
        <v>195743</v>
      </c>
      <c r="N81" s="206">
        <f>+L81/M81</f>
        <v>11.067302534445677</v>
      </c>
      <c r="O81" s="426"/>
      <c r="P81" s="288"/>
      <c r="Q81" s="66"/>
      <c r="R81" s="66"/>
      <c r="S81" s="66"/>
      <c r="T81" s="66"/>
    </row>
    <row r="82" spans="1:20" ht="13.5" customHeight="1">
      <c r="A82" s="223">
        <v>78</v>
      </c>
      <c r="B82" s="238" t="s">
        <v>96</v>
      </c>
      <c r="C82" s="224">
        <v>40424</v>
      </c>
      <c r="D82" s="225" t="s">
        <v>23</v>
      </c>
      <c r="E82" s="226">
        <v>107</v>
      </c>
      <c r="F82" s="226">
        <v>1</v>
      </c>
      <c r="G82" s="226">
        <v>20</v>
      </c>
      <c r="H82" s="302">
        <v>1204</v>
      </c>
      <c r="I82" s="306">
        <v>350</v>
      </c>
      <c r="J82" s="228">
        <f>I82/F82</f>
        <v>350</v>
      </c>
      <c r="K82" s="309">
        <f>+H82/I82</f>
        <v>3.44</v>
      </c>
      <c r="L82" s="227">
        <v>2167551</v>
      </c>
      <c r="M82" s="228">
        <v>196093</v>
      </c>
      <c r="N82" s="239">
        <f>+L82/M82</f>
        <v>11.053688810921349</v>
      </c>
      <c r="O82" s="417"/>
      <c r="P82" s="288"/>
      <c r="Q82" s="66"/>
      <c r="R82" s="66"/>
      <c r="S82" s="66"/>
      <c r="T82" s="66"/>
    </row>
    <row r="83" spans="1:20" ht="13.5" customHeight="1">
      <c r="A83" s="223">
        <v>79</v>
      </c>
      <c r="B83" s="381" t="s">
        <v>115</v>
      </c>
      <c r="C83" s="340">
        <v>40396</v>
      </c>
      <c r="D83" s="229" t="s">
        <v>118</v>
      </c>
      <c r="E83" s="341">
        <v>4</v>
      </c>
      <c r="F83" s="341">
        <v>2</v>
      </c>
      <c r="G83" s="341">
        <v>22</v>
      </c>
      <c r="H83" s="191">
        <v>1323</v>
      </c>
      <c r="I83" s="177">
        <v>206</v>
      </c>
      <c r="J83" s="170">
        <f aca="true" t="shared" si="11" ref="J83:J91">(I83/F83)</f>
        <v>103</v>
      </c>
      <c r="K83" s="192">
        <f aca="true" t="shared" si="12" ref="K83:K97">H83/I83</f>
        <v>6.422330097087379</v>
      </c>
      <c r="L83" s="193">
        <f>14959+9646+7725+4386+3960+14571+6049+4818+2605+3811+4797+6372+2996+165+950.5+1598.5+276+381+768+800+1224+1323</f>
        <v>94181</v>
      </c>
      <c r="M83" s="169">
        <f>1646+1123+1125+547+522+2218+896+595+438+656+743+1047+452+23+148+219+42+85+83+91+196+206</f>
        <v>13101</v>
      </c>
      <c r="N83" s="210">
        <f aca="true" t="shared" si="13" ref="N83:N91">L83/M83</f>
        <v>7.188840546523166</v>
      </c>
      <c r="O83" s="399"/>
      <c r="P83" s="288"/>
      <c r="Q83" s="66"/>
      <c r="R83" s="66"/>
      <c r="S83" s="66"/>
      <c r="T83" s="66"/>
    </row>
    <row r="84" spans="1:20" ht="13.5" customHeight="1">
      <c r="A84" s="223">
        <v>80</v>
      </c>
      <c r="B84" s="382" t="s">
        <v>115</v>
      </c>
      <c r="C84" s="342">
        <v>40396</v>
      </c>
      <c r="D84" s="229" t="s">
        <v>118</v>
      </c>
      <c r="E84" s="343">
        <v>4</v>
      </c>
      <c r="F84" s="343">
        <v>1</v>
      </c>
      <c r="G84" s="343">
        <v>21</v>
      </c>
      <c r="H84" s="303">
        <v>1224</v>
      </c>
      <c r="I84" s="307">
        <v>196</v>
      </c>
      <c r="J84" s="308">
        <f t="shared" si="11"/>
        <v>196</v>
      </c>
      <c r="K84" s="310">
        <f t="shared" si="12"/>
        <v>6.244897959183674</v>
      </c>
      <c r="L84" s="313">
        <f>14959+9646+7725+4386+3960+14571+6049+4818+2605+3811+4797+6372+2996+165+950.5+1598.5+276+381+768+800+1224</f>
        <v>92858</v>
      </c>
      <c r="M84" s="314">
        <f>1646+1123+1125+547+522+2218+896+595+438+656+743+1047+452+23+148+219+42+85+83+91+196</f>
        <v>12895</v>
      </c>
      <c r="N84" s="373">
        <f t="shared" si="13"/>
        <v>7.201085692128732</v>
      </c>
      <c r="O84" s="414"/>
      <c r="P84" s="288"/>
      <c r="Q84" s="66"/>
      <c r="R84" s="66"/>
      <c r="S84" s="66"/>
      <c r="T84" s="66"/>
    </row>
    <row r="85" spans="1:20" ht="13.5" customHeight="1">
      <c r="A85" s="223">
        <v>81</v>
      </c>
      <c r="B85" s="383" t="s">
        <v>115</v>
      </c>
      <c r="C85" s="175">
        <v>40396</v>
      </c>
      <c r="D85" s="242" t="s">
        <v>118</v>
      </c>
      <c r="E85" s="247">
        <v>4</v>
      </c>
      <c r="F85" s="247">
        <v>1</v>
      </c>
      <c r="G85" s="247">
        <v>24</v>
      </c>
      <c r="H85" s="191">
        <v>915</v>
      </c>
      <c r="I85" s="177">
        <v>126</v>
      </c>
      <c r="J85" s="170">
        <f t="shared" si="11"/>
        <v>126</v>
      </c>
      <c r="K85" s="192">
        <f t="shared" si="12"/>
        <v>7.261904761904762</v>
      </c>
      <c r="L85" s="193">
        <f>14959+9646+7725+4386+3960+14571+6049+4818+2605+3811+4797+6372+2996+165+950.5+1598.5+276+381+768+800+1224+1323+280+915</f>
        <v>95376</v>
      </c>
      <c r="M85" s="169">
        <f>1646+1123+1125+547+522+2218+896+595+438+656+743+1047+452+23+148+219+42+85+83+91+196+206+40+126</f>
        <v>13267</v>
      </c>
      <c r="N85" s="210">
        <f t="shared" si="13"/>
        <v>7.188965101379362</v>
      </c>
      <c r="O85" s="296"/>
      <c r="P85" s="288"/>
      <c r="Q85" s="66"/>
      <c r="R85" s="66"/>
      <c r="S85" s="66"/>
      <c r="T85" s="66"/>
    </row>
    <row r="86" spans="1:20" ht="13.5" customHeight="1">
      <c r="A86" s="223">
        <v>82</v>
      </c>
      <c r="B86" s="384" t="s">
        <v>115</v>
      </c>
      <c r="C86" s="175">
        <v>40396</v>
      </c>
      <c r="D86" s="229" t="s">
        <v>118</v>
      </c>
      <c r="E86" s="247">
        <v>4</v>
      </c>
      <c r="F86" s="247">
        <v>1</v>
      </c>
      <c r="G86" s="247">
        <v>20</v>
      </c>
      <c r="H86" s="191">
        <v>800</v>
      </c>
      <c r="I86" s="177">
        <v>91</v>
      </c>
      <c r="J86" s="170">
        <f t="shared" si="11"/>
        <v>91</v>
      </c>
      <c r="K86" s="192">
        <f t="shared" si="12"/>
        <v>8.791208791208792</v>
      </c>
      <c r="L86" s="193">
        <f>14959+9646+7725+4386+3960+14571+6049+4818+2605+3811+4797+6372+2996+165+950.5+1598.5+276+381+768+800</f>
        <v>91634</v>
      </c>
      <c r="M86" s="169">
        <f>1646+1123+1125+547+522+2218+896+595+438+656+743+1047+452+23+148+219+42+85+83+91</f>
        <v>12699</v>
      </c>
      <c r="N86" s="210">
        <f t="shared" si="13"/>
        <v>7.215843767225766</v>
      </c>
      <c r="O86" s="268"/>
      <c r="P86" s="288"/>
      <c r="Q86" s="66"/>
      <c r="R86" s="66"/>
      <c r="S86" s="66"/>
      <c r="T86" s="66"/>
    </row>
    <row r="87" spans="1:20" ht="13.5" customHeight="1">
      <c r="A87" s="223">
        <v>83</v>
      </c>
      <c r="B87" s="382" t="s">
        <v>115</v>
      </c>
      <c r="C87" s="342">
        <v>40396</v>
      </c>
      <c r="D87" s="229" t="s">
        <v>118</v>
      </c>
      <c r="E87" s="343">
        <v>4</v>
      </c>
      <c r="F87" s="343">
        <v>1</v>
      </c>
      <c r="G87" s="343">
        <v>19</v>
      </c>
      <c r="H87" s="303">
        <v>768</v>
      </c>
      <c r="I87" s="307">
        <v>83</v>
      </c>
      <c r="J87" s="308">
        <f t="shared" si="11"/>
        <v>83</v>
      </c>
      <c r="K87" s="310">
        <f t="shared" si="12"/>
        <v>9.25301204819277</v>
      </c>
      <c r="L87" s="313">
        <f>14959+9646+7725+4386+3960+14571+6049+4818+2605+3811+4797+6372+2996+165+950.5+1598.5+276+381+768</f>
        <v>90834</v>
      </c>
      <c r="M87" s="314">
        <f>1646+1123+1125+547+522+2218+896+595+438+656+743+1047+452+23+148+219+42+85+83</f>
        <v>12608</v>
      </c>
      <c r="N87" s="373">
        <f t="shared" si="13"/>
        <v>7.204473350253807</v>
      </c>
      <c r="O87" s="427"/>
      <c r="P87" s="288"/>
      <c r="Q87" s="66"/>
      <c r="R87" s="66"/>
      <c r="S87" s="66"/>
      <c r="T87" s="66"/>
    </row>
    <row r="88" spans="1:20" ht="13.5" customHeight="1">
      <c r="A88" s="223">
        <v>84</v>
      </c>
      <c r="B88" s="381" t="s">
        <v>115</v>
      </c>
      <c r="C88" s="340">
        <v>40396</v>
      </c>
      <c r="D88" s="229" t="s">
        <v>118</v>
      </c>
      <c r="E88" s="341">
        <v>4</v>
      </c>
      <c r="F88" s="341">
        <v>1</v>
      </c>
      <c r="G88" s="341">
        <v>23</v>
      </c>
      <c r="H88" s="304">
        <v>280</v>
      </c>
      <c r="I88" s="315">
        <v>40</v>
      </c>
      <c r="J88" s="316">
        <f t="shared" si="11"/>
        <v>40</v>
      </c>
      <c r="K88" s="311">
        <f t="shared" si="12"/>
        <v>7</v>
      </c>
      <c r="L88" s="184">
        <f>14959+9646+7725+4386+3960+14571+6049+4818+2605+3811+4797+6372+2996+165+950.5+1598.5+276+381+768+800+1224+1323+280</f>
        <v>94461</v>
      </c>
      <c r="M88" s="266">
        <f>1646+1123+1125+547+522+2218+896+595+438+656+743+1047+452+23+148+219+42+85+83+91+196+206+40</f>
        <v>13141</v>
      </c>
      <c r="N88" s="185">
        <f t="shared" si="13"/>
        <v>7.188265733201431</v>
      </c>
      <c r="O88" s="399"/>
      <c r="P88" s="288"/>
      <c r="Q88" s="66"/>
      <c r="R88" s="66"/>
      <c r="S88" s="66"/>
      <c r="T88" s="66"/>
    </row>
    <row r="89" spans="1:20" ht="13.5" customHeight="1">
      <c r="A89" s="223">
        <v>85</v>
      </c>
      <c r="B89" s="240" t="s">
        <v>95</v>
      </c>
      <c r="C89" s="164">
        <v>40430</v>
      </c>
      <c r="D89" s="229" t="s">
        <v>118</v>
      </c>
      <c r="E89" s="230">
        <v>57</v>
      </c>
      <c r="F89" s="230">
        <v>2</v>
      </c>
      <c r="G89" s="230">
        <v>17</v>
      </c>
      <c r="H89" s="191">
        <v>4752</v>
      </c>
      <c r="I89" s="177">
        <v>1188</v>
      </c>
      <c r="J89" s="170">
        <f t="shared" si="11"/>
        <v>594</v>
      </c>
      <c r="K89" s="192">
        <f t="shared" si="12"/>
        <v>4</v>
      </c>
      <c r="L89" s="193">
        <f>15818.5+150711.5+75138.5+33591.5+30249.5+17415.5+8294.5+10566+6016+6121.5+888.5+2484+322+4243.5+950.5+1782+1782+4752</f>
        <v>371127.5</v>
      </c>
      <c r="M89" s="169">
        <f>1512+15643+7345+4634+4073+2646+1136+2027+1109+1483+117+572+47+1041+237+445+446+1188</f>
        <v>45701</v>
      </c>
      <c r="N89" s="210">
        <f t="shared" si="13"/>
        <v>8.120774162490974</v>
      </c>
      <c r="O89" s="415"/>
      <c r="P89" s="288"/>
      <c r="Q89" s="66"/>
      <c r="R89" s="66"/>
      <c r="S89" s="66"/>
      <c r="T89" s="66"/>
    </row>
    <row r="90" spans="1:20" ht="13.5" customHeight="1">
      <c r="A90" s="223">
        <v>86</v>
      </c>
      <c r="B90" s="205" t="s">
        <v>95</v>
      </c>
      <c r="C90" s="164">
        <v>40430</v>
      </c>
      <c r="D90" s="229" t="s">
        <v>118</v>
      </c>
      <c r="E90" s="241">
        <v>57</v>
      </c>
      <c r="F90" s="241">
        <v>1</v>
      </c>
      <c r="G90" s="241">
        <v>16</v>
      </c>
      <c r="H90" s="191">
        <v>1782</v>
      </c>
      <c r="I90" s="177">
        <v>446</v>
      </c>
      <c r="J90" s="170">
        <f t="shared" si="11"/>
        <v>446</v>
      </c>
      <c r="K90" s="192">
        <f t="shared" si="12"/>
        <v>3.995515695067265</v>
      </c>
      <c r="L90" s="193">
        <f>15818.5+150711.5+75138.5+33591.5+30249.5+17415.5+8294.5+10566+6016+6121.5+888.5+2484+322+4243.5+950.5+1782+1782</f>
        <v>366375.5</v>
      </c>
      <c r="M90" s="169">
        <f>1512+15643+7345+4634+4073+2646+1136+2027+1109+1483+117+572+47+1041+237+445+446</f>
        <v>44513</v>
      </c>
      <c r="N90" s="210">
        <f t="shared" si="13"/>
        <v>8.230752813784736</v>
      </c>
      <c r="O90" s="268"/>
      <c r="P90" s="288"/>
      <c r="Q90" s="66"/>
      <c r="R90" s="66"/>
      <c r="S90" s="66"/>
      <c r="T90" s="66"/>
    </row>
    <row r="91" spans="1:20" ht="13.5" customHeight="1">
      <c r="A91" s="223">
        <v>87</v>
      </c>
      <c r="B91" s="205" t="s">
        <v>95</v>
      </c>
      <c r="C91" s="164">
        <v>40430</v>
      </c>
      <c r="D91" s="229" t="s">
        <v>118</v>
      </c>
      <c r="E91" s="241">
        <v>57</v>
      </c>
      <c r="F91" s="241">
        <v>1</v>
      </c>
      <c r="G91" s="241">
        <v>15</v>
      </c>
      <c r="H91" s="191">
        <v>1782</v>
      </c>
      <c r="I91" s="177">
        <v>445</v>
      </c>
      <c r="J91" s="170">
        <f t="shared" si="11"/>
        <v>445</v>
      </c>
      <c r="K91" s="192">
        <f t="shared" si="12"/>
        <v>4.004494382022472</v>
      </c>
      <c r="L91" s="193">
        <f>15818.5+150711.5+75138.5+33591.5+30249.5+17415.5+8294.5+10566+6016+6121.5+888.5+2484+322+4243.5+950.5+1782</f>
        <v>364593.5</v>
      </c>
      <c r="M91" s="169">
        <f>1512+15643+7345+4634+4073+2646+1136+2027+1109+1483+117+572+47+1041+237+445</f>
        <v>44067</v>
      </c>
      <c r="N91" s="210">
        <f t="shared" si="13"/>
        <v>8.273617446161527</v>
      </c>
      <c r="O91" s="297"/>
      <c r="P91" s="288"/>
      <c r="Q91" s="66"/>
      <c r="R91" s="66"/>
      <c r="S91" s="66"/>
      <c r="T91" s="66"/>
    </row>
    <row r="92" spans="1:20" ht="13.5" customHeight="1">
      <c r="A92" s="223">
        <v>88</v>
      </c>
      <c r="B92" s="240" t="s">
        <v>214</v>
      </c>
      <c r="C92" s="400">
        <v>40319</v>
      </c>
      <c r="D92" s="229" t="s">
        <v>26</v>
      </c>
      <c r="E92" s="230">
        <v>55</v>
      </c>
      <c r="F92" s="230">
        <v>1</v>
      </c>
      <c r="G92" s="230">
        <v>18</v>
      </c>
      <c r="H92" s="186">
        <v>4324</v>
      </c>
      <c r="I92" s="178">
        <v>864</v>
      </c>
      <c r="J92" s="163">
        <f aca="true" t="shared" si="14" ref="J92:J97">I92/F92</f>
        <v>864</v>
      </c>
      <c r="K92" s="403">
        <f t="shared" si="12"/>
        <v>5.00462962962963</v>
      </c>
      <c r="L92" s="187">
        <f>65145+41204+28599.5+10743+2405+0.5+2368+274+127+891+124+545+573+114+1943+465+416+216+4324</f>
        <v>160477</v>
      </c>
      <c r="M92" s="165">
        <f>6350+4165+3879+1659+455+341+36+22+135+21+109+98+19+321+74+58+35+864</f>
        <v>18641</v>
      </c>
      <c r="N92" s="407">
        <f aca="true" t="shared" si="15" ref="N92:N97">+L92/M92</f>
        <v>8.608819269352503</v>
      </c>
      <c r="O92" s="399"/>
      <c r="P92" s="288"/>
      <c r="Q92" s="66"/>
      <c r="R92" s="66"/>
      <c r="S92" s="66"/>
      <c r="T92" s="66"/>
    </row>
    <row r="93" spans="1:20" ht="13.5" customHeight="1">
      <c r="A93" s="223">
        <v>89</v>
      </c>
      <c r="B93" s="374" t="s">
        <v>34</v>
      </c>
      <c r="C93" s="161">
        <v>40508</v>
      </c>
      <c r="D93" s="317" t="s">
        <v>24</v>
      </c>
      <c r="E93" s="243">
        <v>72</v>
      </c>
      <c r="F93" s="243">
        <v>12</v>
      </c>
      <c r="G93" s="243">
        <v>6</v>
      </c>
      <c r="H93" s="318">
        <v>10277</v>
      </c>
      <c r="I93" s="176">
        <v>1355</v>
      </c>
      <c r="J93" s="163">
        <f t="shared" si="14"/>
        <v>112.91666666666667</v>
      </c>
      <c r="K93" s="319">
        <f t="shared" si="12"/>
        <v>7.58450184501845</v>
      </c>
      <c r="L93" s="320">
        <v>1208960</v>
      </c>
      <c r="M93" s="162">
        <v>105047</v>
      </c>
      <c r="N93" s="375">
        <f t="shared" si="15"/>
        <v>11.508753224747018</v>
      </c>
      <c r="O93" s="268">
        <v>1</v>
      </c>
      <c r="P93" s="288"/>
      <c r="Q93" s="66"/>
      <c r="R93" s="66"/>
      <c r="S93" s="66"/>
      <c r="T93" s="66"/>
    </row>
    <row r="94" spans="1:20" ht="13.5" customHeight="1">
      <c r="A94" s="223">
        <v>90</v>
      </c>
      <c r="B94" s="211" t="s">
        <v>34</v>
      </c>
      <c r="C94" s="161">
        <v>40508</v>
      </c>
      <c r="D94" s="232" t="s">
        <v>24</v>
      </c>
      <c r="E94" s="231">
        <v>72</v>
      </c>
      <c r="F94" s="231">
        <v>2</v>
      </c>
      <c r="G94" s="231">
        <v>8</v>
      </c>
      <c r="H94" s="188">
        <v>2043</v>
      </c>
      <c r="I94" s="176">
        <v>282</v>
      </c>
      <c r="J94" s="163">
        <f t="shared" si="14"/>
        <v>141</v>
      </c>
      <c r="K94" s="189">
        <f t="shared" si="12"/>
        <v>7.24468085106383</v>
      </c>
      <c r="L94" s="190">
        <v>1211516</v>
      </c>
      <c r="M94" s="162">
        <v>105388</v>
      </c>
      <c r="N94" s="208">
        <f t="shared" si="15"/>
        <v>11.495768019129313</v>
      </c>
      <c r="O94" s="399"/>
      <c r="P94" s="288"/>
      <c r="Q94" s="66"/>
      <c r="R94" s="66"/>
      <c r="S94" s="66"/>
      <c r="T94" s="66"/>
    </row>
    <row r="95" spans="1:20" ht="13.5" customHeight="1">
      <c r="A95" s="223">
        <v>91</v>
      </c>
      <c r="B95" s="207" t="s">
        <v>34</v>
      </c>
      <c r="C95" s="161">
        <v>40508</v>
      </c>
      <c r="D95" s="317" t="s">
        <v>24</v>
      </c>
      <c r="E95" s="243">
        <v>72</v>
      </c>
      <c r="F95" s="243">
        <v>1</v>
      </c>
      <c r="G95" s="243">
        <v>7</v>
      </c>
      <c r="H95" s="188">
        <v>513</v>
      </c>
      <c r="I95" s="176">
        <v>59</v>
      </c>
      <c r="J95" s="163">
        <f t="shared" si="14"/>
        <v>59</v>
      </c>
      <c r="K95" s="189">
        <f t="shared" si="12"/>
        <v>8.694915254237289</v>
      </c>
      <c r="L95" s="190">
        <v>1209473</v>
      </c>
      <c r="M95" s="162">
        <v>105106</v>
      </c>
      <c r="N95" s="208">
        <f t="shared" si="15"/>
        <v>11.507173710349551</v>
      </c>
      <c r="O95" s="296"/>
      <c r="P95" s="288"/>
      <c r="Q95" s="66"/>
      <c r="R95" s="66"/>
      <c r="S95" s="66"/>
      <c r="T95" s="66"/>
    </row>
    <row r="96" spans="1:20" ht="13.5" customHeight="1">
      <c r="A96" s="223">
        <v>92</v>
      </c>
      <c r="B96" s="374" t="s">
        <v>10</v>
      </c>
      <c r="C96" s="161">
        <v>40459</v>
      </c>
      <c r="D96" s="317" t="s">
        <v>24</v>
      </c>
      <c r="E96" s="243">
        <v>55</v>
      </c>
      <c r="F96" s="243">
        <v>3</v>
      </c>
      <c r="G96" s="243">
        <v>13</v>
      </c>
      <c r="H96" s="318">
        <v>2794</v>
      </c>
      <c r="I96" s="176">
        <v>385</v>
      </c>
      <c r="J96" s="163">
        <f t="shared" si="14"/>
        <v>128.33333333333334</v>
      </c>
      <c r="K96" s="319">
        <f t="shared" si="12"/>
        <v>7.257142857142857</v>
      </c>
      <c r="L96" s="320">
        <v>2711808</v>
      </c>
      <c r="M96" s="162">
        <v>235959</v>
      </c>
      <c r="N96" s="375">
        <f t="shared" si="15"/>
        <v>11.492708479015421</v>
      </c>
      <c r="O96" s="297"/>
      <c r="P96" s="288"/>
      <c r="Q96" s="66"/>
      <c r="R96" s="66"/>
      <c r="S96" s="66"/>
      <c r="T96" s="66"/>
    </row>
    <row r="97" spans="1:20" ht="13.5" customHeight="1">
      <c r="A97" s="223">
        <v>93</v>
      </c>
      <c r="B97" s="211" t="s">
        <v>10</v>
      </c>
      <c r="C97" s="161">
        <v>40459</v>
      </c>
      <c r="D97" s="232" t="s">
        <v>24</v>
      </c>
      <c r="E97" s="231">
        <v>55</v>
      </c>
      <c r="F97" s="231">
        <v>1</v>
      </c>
      <c r="G97" s="231">
        <v>14</v>
      </c>
      <c r="H97" s="188">
        <v>1190</v>
      </c>
      <c r="I97" s="176">
        <v>238</v>
      </c>
      <c r="J97" s="163">
        <f t="shared" si="14"/>
        <v>238</v>
      </c>
      <c r="K97" s="189">
        <f t="shared" si="12"/>
        <v>5</v>
      </c>
      <c r="L97" s="190">
        <v>2712998</v>
      </c>
      <c r="M97" s="162">
        <v>236197</v>
      </c>
      <c r="N97" s="208">
        <f t="shared" si="15"/>
        <v>11.486166208715606</v>
      </c>
      <c r="O97" s="415"/>
      <c r="P97" s="288"/>
      <c r="Q97" s="66"/>
      <c r="R97" s="66"/>
      <c r="S97" s="66"/>
      <c r="T97" s="66"/>
    </row>
    <row r="98" spans="1:20" ht="13.5" customHeight="1">
      <c r="A98" s="223">
        <v>94</v>
      </c>
      <c r="B98" s="468" t="s">
        <v>10</v>
      </c>
      <c r="C98" s="465">
        <v>40459</v>
      </c>
      <c r="D98" s="464" t="s">
        <v>24</v>
      </c>
      <c r="E98" s="466">
        <v>55</v>
      </c>
      <c r="F98" s="466">
        <v>1</v>
      </c>
      <c r="G98" s="466">
        <v>16</v>
      </c>
      <c r="H98" s="188">
        <v>182</v>
      </c>
      <c r="I98" s="176">
        <v>40</v>
      </c>
      <c r="J98" s="163">
        <v>40</v>
      </c>
      <c r="K98" s="189">
        <v>4.55</v>
      </c>
      <c r="L98" s="190">
        <v>2714293</v>
      </c>
      <c r="M98" s="162">
        <v>237065</v>
      </c>
      <c r="N98" s="208">
        <v>11.449572901946723</v>
      </c>
      <c r="O98" s="485"/>
      <c r="P98" s="288"/>
      <c r="Q98" s="66"/>
      <c r="R98" s="66"/>
      <c r="S98" s="66"/>
      <c r="T98" s="66"/>
    </row>
    <row r="99" spans="1:20" ht="13.5" customHeight="1">
      <c r="A99" s="223">
        <v>95</v>
      </c>
      <c r="B99" s="207" t="s">
        <v>10</v>
      </c>
      <c r="C99" s="161">
        <v>40459</v>
      </c>
      <c r="D99" s="244" t="s">
        <v>24</v>
      </c>
      <c r="E99" s="243">
        <v>55</v>
      </c>
      <c r="F99" s="243">
        <v>2</v>
      </c>
      <c r="G99" s="243">
        <v>17</v>
      </c>
      <c r="H99" s="188">
        <v>1379</v>
      </c>
      <c r="I99" s="176">
        <v>340</v>
      </c>
      <c r="J99" s="163">
        <f>I99/F99</f>
        <v>170</v>
      </c>
      <c r="K99" s="189">
        <f>H99/I99</f>
        <v>4.055882352941176</v>
      </c>
      <c r="L99" s="190">
        <v>2715672</v>
      </c>
      <c r="M99" s="162">
        <v>237405</v>
      </c>
      <c r="N99" s="208">
        <f>+L99/M99</f>
        <v>11.438984014658494</v>
      </c>
      <c r="O99" s="541"/>
      <c r="P99" s="288"/>
      <c r="Q99" s="66"/>
      <c r="R99" s="66"/>
      <c r="S99" s="66"/>
      <c r="T99" s="66"/>
    </row>
    <row r="100" spans="1:20" ht="13.5" customHeight="1">
      <c r="A100" s="223">
        <v>96</v>
      </c>
      <c r="B100" s="240" t="s">
        <v>164</v>
      </c>
      <c r="C100" s="257">
        <v>40333</v>
      </c>
      <c r="D100" s="229" t="s">
        <v>118</v>
      </c>
      <c r="E100" s="230">
        <v>2</v>
      </c>
      <c r="F100" s="230">
        <v>1</v>
      </c>
      <c r="G100" s="230">
        <v>18</v>
      </c>
      <c r="H100" s="304">
        <v>1307</v>
      </c>
      <c r="I100" s="315">
        <v>327</v>
      </c>
      <c r="J100" s="316">
        <f>(I100/F100)</f>
        <v>327</v>
      </c>
      <c r="K100" s="311">
        <f>H100/I100</f>
        <v>3.996941896024465</v>
      </c>
      <c r="L100" s="184">
        <f>20966+1047+769+1091.5+1901+1090.5+330+94+107+1307</f>
        <v>28703</v>
      </c>
      <c r="M100" s="266">
        <f>2304+127+92+121+475+146+92+18+21+327</f>
        <v>3723</v>
      </c>
      <c r="N100" s="185">
        <f>L100/M100</f>
        <v>7.7096427612140745</v>
      </c>
      <c r="O100" s="399"/>
      <c r="P100" s="288"/>
      <c r="Q100" s="66"/>
      <c r="R100" s="66"/>
      <c r="S100" s="66"/>
      <c r="T100" s="66"/>
    </row>
    <row r="101" spans="1:20" ht="13.5" customHeight="1">
      <c r="A101" s="223">
        <v>97</v>
      </c>
      <c r="B101" s="374" t="s">
        <v>20</v>
      </c>
      <c r="C101" s="161">
        <v>40207</v>
      </c>
      <c r="D101" s="317" t="s">
        <v>17</v>
      </c>
      <c r="E101" s="243">
        <v>47</v>
      </c>
      <c r="F101" s="243">
        <v>2</v>
      </c>
      <c r="G101" s="243">
        <v>40</v>
      </c>
      <c r="H101" s="325">
        <v>1782</v>
      </c>
      <c r="I101" s="181">
        <v>356</v>
      </c>
      <c r="J101" s="168">
        <f aca="true" t="shared" si="16" ref="J101:J106">IF(H101&lt;&gt;0,I101/F101,"")</f>
        <v>178</v>
      </c>
      <c r="K101" s="326">
        <f aca="true" t="shared" si="17" ref="K101:K106">IF(H101&lt;&gt;0,H101/I101,"")</f>
        <v>5.00561797752809</v>
      </c>
      <c r="L101" s="327">
        <f>1873890.5+5542+564+70+558+190+292+283.5+618+H101</f>
        <v>1883790</v>
      </c>
      <c r="M101" s="165">
        <f>160830+1202+112+10+80+27+42+44+119+I101</f>
        <v>162822</v>
      </c>
      <c r="N101" s="376">
        <f aca="true" t="shared" si="18" ref="N101:N106">IF(L101&lt;&gt;0,L101/M101,"")</f>
        <v>11.569628182923683</v>
      </c>
      <c r="O101" s="425">
        <v>1</v>
      </c>
      <c r="P101" s="288"/>
      <c r="Q101" s="66"/>
      <c r="R101" s="66"/>
      <c r="S101" s="66"/>
      <c r="T101" s="66"/>
    </row>
    <row r="102" spans="1:20" ht="13.5" customHeight="1">
      <c r="A102" s="223">
        <v>98</v>
      </c>
      <c r="B102" s="256" t="s">
        <v>20</v>
      </c>
      <c r="C102" s="161">
        <v>40207</v>
      </c>
      <c r="D102" s="244" t="s">
        <v>17</v>
      </c>
      <c r="E102" s="243">
        <v>47</v>
      </c>
      <c r="F102" s="243">
        <v>1</v>
      </c>
      <c r="G102" s="243">
        <v>45</v>
      </c>
      <c r="H102" s="197">
        <v>450</v>
      </c>
      <c r="I102" s="181">
        <v>29</v>
      </c>
      <c r="J102" s="168">
        <f t="shared" si="16"/>
        <v>29</v>
      </c>
      <c r="K102" s="195">
        <f t="shared" si="17"/>
        <v>15.517241379310345</v>
      </c>
      <c r="L102" s="198">
        <f>1883790+184+100+80+110+450</f>
        <v>1884714</v>
      </c>
      <c r="M102" s="165">
        <f>162822+46+10+8+11+29</f>
        <v>162926</v>
      </c>
      <c r="N102" s="212">
        <f t="shared" si="18"/>
        <v>11.567914267827112</v>
      </c>
      <c r="O102" s="423"/>
      <c r="P102" s="288"/>
      <c r="Q102" s="66"/>
      <c r="R102" s="66"/>
      <c r="S102" s="66"/>
      <c r="T102" s="66"/>
    </row>
    <row r="103" spans="1:20" ht="13.5" customHeight="1">
      <c r="A103" s="223">
        <v>99</v>
      </c>
      <c r="B103" s="207" t="s">
        <v>20</v>
      </c>
      <c r="C103" s="161">
        <v>40207</v>
      </c>
      <c r="D103" s="317" t="s">
        <v>17</v>
      </c>
      <c r="E103" s="243">
        <v>47</v>
      </c>
      <c r="F103" s="243">
        <v>1</v>
      </c>
      <c r="G103" s="243">
        <v>41</v>
      </c>
      <c r="H103" s="197">
        <v>184</v>
      </c>
      <c r="I103" s="181">
        <v>46</v>
      </c>
      <c r="J103" s="168">
        <f t="shared" si="16"/>
        <v>46</v>
      </c>
      <c r="K103" s="195">
        <f t="shared" si="17"/>
        <v>4</v>
      </c>
      <c r="L103" s="198">
        <f>1883790+184</f>
        <v>1883974</v>
      </c>
      <c r="M103" s="165">
        <f>162822+46</f>
        <v>162868</v>
      </c>
      <c r="N103" s="212">
        <f t="shared" si="18"/>
        <v>11.567490237492938</v>
      </c>
      <c r="O103" s="296"/>
      <c r="P103" s="288"/>
      <c r="Q103" s="66"/>
      <c r="R103" s="66"/>
      <c r="S103" s="66"/>
      <c r="T103" s="66"/>
    </row>
    <row r="104" spans="1:20" ht="13.5" customHeight="1">
      <c r="A104" s="223">
        <v>100</v>
      </c>
      <c r="B104" s="207" t="s">
        <v>20</v>
      </c>
      <c r="C104" s="161">
        <v>40207</v>
      </c>
      <c r="D104" s="244" t="s">
        <v>17</v>
      </c>
      <c r="E104" s="243">
        <v>47</v>
      </c>
      <c r="F104" s="243">
        <v>1</v>
      </c>
      <c r="G104" s="243">
        <v>44</v>
      </c>
      <c r="H104" s="197">
        <v>110</v>
      </c>
      <c r="I104" s="181">
        <v>11</v>
      </c>
      <c r="J104" s="168">
        <f t="shared" si="16"/>
        <v>11</v>
      </c>
      <c r="K104" s="195">
        <f t="shared" si="17"/>
        <v>10</v>
      </c>
      <c r="L104" s="198">
        <f>1883790+184+100+80+110</f>
        <v>1884264</v>
      </c>
      <c r="M104" s="165">
        <f>162822+46+10+8+11</f>
        <v>162897</v>
      </c>
      <c r="N104" s="212">
        <f t="shared" si="18"/>
        <v>11.567211182526382</v>
      </c>
      <c r="O104" s="296"/>
      <c r="P104" s="288"/>
      <c r="Q104" s="66"/>
      <c r="R104" s="66"/>
      <c r="S104" s="66"/>
      <c r="T104" s="66"/>
    </row>
    <row r="105" spans="1:20" ht="13.5" customHeight="1">
      <c r="A105" s="223">
        <v>101</v>
      </c>
      <c r="B105" s="211" t="s">
        <v>20</v>
      </c>
      <c r="C105" s="321">
        <v>40207</v>
      </c>
      <c r="D105" s="232" t="s">
        <v>17</v>
      </c>
      <c r="E105" s="231">
        <v>47</v>
      </c>
      <c r="F105" s="231">
        <v>1</v>
      </c>
      <c r="G105" s="231">
        <v>42</v>
      </c>
      <c r="H105" s="197">
        <v>100</v>
      </c>
      <c r="I105" s="181">
        <v>10</v>
      </c>
      <c r="J105" s="168">
        <f t="shared" si="16"/>
        <v>10</v>
      </c>
      <c r="K105" s="195">
        <f t="shared" si="17"/>
        <v>10</v>
      </c>
      <c r="L105" s="198">
        <f>1883790+184+100</f>
        <v>1884074</v>
      </c>
      <c r="M105" s="165">
        <f>162822+46+10</f>
        <v>162878</v>
      </c>
      <c r="N105" s="212">
        <f t="shared" si="18"/>
        <v>11.56739400041749</v>
      </c>
      <c r="O105" s="399"/>
      <c r="P105" s="288"/>
      <c r="Q105" s="66"/>
      <c r="R105" s="66"/>
      <c r="S105" s="66"/>
      <c r="T105" s="66"/>
    </row>
    <row r="106" spans="1:20" ht="13.5" customHeight="1">
      <c r="A106" s="223">
        <v>102</v>
      </c>
      <c r="B106" s="211" t="s">
        <v>20</v>
      </c>
      <c r="C106" s="321">
        <v>40207</v>
      </c>
      <c r="D106" s="232" t="s">
        <v>17</v>
      </c>
      <c r="E106" s="231">
        <v>47</v>
      </c>
      <c r="F106" s="231">
        <v>1</v>
      </c>
      <c r="G106" s="231">
        <v>43</v>
      </c>
      <c r="H106" s="325">
        <v>80</v>
      </c>
      <c r="I106" s="344">
        <v>8</v>
      </c>
      <c r="J106" s="345">
        <f t="shared" si="16"/>
        <v>8</v>
      </c>
      <c r="K106" s="326">
        <f t="shared" si="17"/>
        <v>10</v>
      </c>
      <c r="L106" s="327">
        <f>1883790+184+100+80</f>
        <v>1884154</v>
      </c>
      <c r="M106" s="265">
        <f>162822+46+10+8</f>
        <v>162886</v>
      </c>
      <c r="N106" s="376">
        <f t="shared" si="18"/>
        <v>11.567317019265007</v>
      </c>
      <c r="O106" s="399"/>
      <c r="P106" s="288"/>
      <c r="Q106" s="66"/>
      <c r="R106" s="66"/>
      <c r="S106" s="66"/>
      <c r="T106" s="66"/>
    </row>
    <row r="107" spans="1:20" ht="13.5" customHeight="1">
      <c r="A107" s="223">
        <v>103</v>
      </c>
      <c r="B107" s="240" t="s">
        <v>216</v>
      </c>
      <c r="C107" s="400">
        <v>39766</v>
      </c>
      <c r="D107" s="229" t="s">
        <v>103</v>
      </c>
      <c r="E107" s="230">
        <v>17</v>
      </c>
      <c r="F107" s="230">
        <v>1</v>
      </c>
      <c r="G107" s="230">
        <v>27</v>
      </c>
      <c r="H107" s="234">
        <v>403</v>
      </c>
      <c r="I107" s="235">
        <v>2016</v>
      </c>
      <c r="J107" s="251">
        <v>2016</v>
      </c>
      <c r="K107" s="405">
        <v>0.19990079365079366</v>
      </c>
      <c r="L107" s="237">
        <v>93607</v>
      </c>
      <c r="M107" s="236">
        <v>13556</v>
      </c>
      <c r="N107" s="410">
        <v>6.9052080259663615</v>
      </c>
      <c r="O107" s="399">
        <v>1</v>
      </c>
      <c r="P107" s="288"/>
      <c r="Q107" s="66"/>
      <c r="R107" s="66"/>
      <c r="S107" s="66"/>
      <c r="T107" s="66"/>
    </row>
    <row r="108" spans="1:20" ht="13.5" customHeight="1">
      <c r="A108" s="223">
        <v>104</v>
      </c>
      <c r="B108" s="205" t="s">
        <v>177</v>
      </c>
      <c r="C108" s="164">
        <v>39878</v>
      </c>
      <c r="D108" s="242" t="s">
        <v>118</v>
      </c>
      <c r="E108" s="241">
        <v>39</v>
      </c>
      <c r="F108" s="241">
        <v>1</v>
      </c>
      <c r="G108" s="241">
        <v>38</v>
      </c>
      <c r="H108" s="191">
        <v>708</v>
      </c>
      <c r="I108" s="177">
        <v>164</v>
      </c>
      <c r="J108" s="170">
        <f>(I108/F108)</f>
        <v>164</v>
      </c>
      <c r="K108" s="192">
        <f aca="true" t="shared" si="19" ref="K108:K124">H108/I108</f>
        <v>4.317073170731708</v>
      </c>
      <c r="L108" s="193">
        <f>143992.5+82756.5+42509+41229+27290.5+16668+27602+17675+4710+8504.5+2403+4164+2272+3469+1997+135+299+674+178+30+240+1413+1006+209+393+680+1780+4040+1780+1780+952+745+2376+2376+2376+4752+2376+708</f>
        <v>458540</v>
      </c>
      <c r="M108" s="169">
        <f>15320+9228+5096+5970+4485+3115+5134+3946+1139+2307+509+879+411+637+472+29+62+165+32+6+48+348+139+43+54+68+445+1010+445+445+238+149+594+594+594+1188+594+164</f>
        <v>66102</v>
      </c>
      <c r="N108" s="210">
        <f>L108/M108</f>
        <v>6.93685516323258</v>
      </c>
      <c r="O108" s="296"/>
      <c r="P108" s="288"/>
      <c r="Q108" s="66"/>
      <c r="R108" s="66"/>
      <c r="S108" s="66"/>
      <c r="T108" s="66"/>
    </row>
    <row r="109" spans="1:20" ht="13.5" customHeight="1">
      <c r="A109" s="223">
        <v>105</v>
      </c>
      <c r="B109" s="372" t="s">
        <v>60</v>
      </c>
      <c r="C109" s="299">
        <v>40543</v>
      </c>
      <c r="D109" s="421" t="s">
        <v>118</v>
      </c>
      <c r="E109" s="301">
        <v>99</v>
      </c>
      <c r="F109" s="301">
        <v>1</v>
      </c>
      <c r="G109" s="301">
        <v>13</v>
      </c>
      <c r="H109" s="303">
        <v>245</v>
      </c>
      <c r="I109" s="307">
        <v>59</v>
      </c>
      <c r="J109" s="308">
        <f>(I109/F109)</f>
        <v>59</v>
      </c>
      <c r="K109" s="310">
        <f t="shared" si="19"/>
        <v>4.1525423728813555</v>
      </c>
      <c r="L109" s="313">
        <f>74157.5+721285.5+410076+112730.5+28262.5+6646+19483.5+940+1245+2674.5+7128+1782+331+245</f>
        <v>1386987</v>
      </c>
      <c r="M109" s="314">
        <f>7361+62279+35611+10987+4077+689+3901+125+178+502+1781+445+78+59</f>
        <v>128073</v>
      </c>
      <c r="N109" s="373">
        <f>L109/M109</f>
        <v>10.829659647232438</v>
      </c>
      <c r="O109" s="422"/>
      <c r="P109" s="288"/>
      <c r="Q109" s="66"/>
      <c r="R109" s="66"/>
      <c r="S109" s="66"/>
      <c r="T109" s="66"/>
    </row>
    <row r="110" spans="1:20" ht="13.5" customHeight="1">
      <c r="A110" s="223">
        <v>106</v>
      </c>
      <c r="B110" s="374" t="s">
        <v>18</v>
      </c>
      <c r="C110" s="161">
        <v>40499</v>
      </c>
      <c r="D110" s="317" t="s">
        <v>24</v>
      </c>
      <c r="E110" s="243">
        <v>216</v>
      </c>
      <c r="F110" s="243">
        <v>34</v>
      </c>
      <c r="G110" s="243">
        <v>7</v>
      </c>
      <c r="H110" s="318">
        <v>30434</v>
      </c>
      <c r="I110" s="176">
        <v>4757</v>
      </c>
      <c r="J110" s="163">
        <f aca="true" t="shared" si="20" ref="J110:J116">I110/F110</f>
        <v>139.91176470588235</v>
      </c>
      <c r="K110" s="319">
        <f t="shared" si="19"/>
        <v>6.397729661551398</v>
      </c>
      <c r="L110" s="320">
        <v>7544141</v>
      </c>
      <c r="M110" s="162">
        <v>795478</v>
      </c>
      <c r="N110" s="375">
        <f aca="true" t="shared" si="21" ref="N110:N116">+L110/M110</f>
        <v>9.4837833353028</v>
      </c>
      <c r="O110" s="268"/>
      <c r="P110" s="288"/>
      <c r="Q110" s="66"/>
      <c r="R110" s="66"/>
      <c r="S110" s="66"/>
      <c r="T110" s="66"/>
    </row>
    <row r="111" spans="1:20" ht="13.5" customHeight="1">
      <c r="A111" s="223">
        <v>107</v>
      </c>
      <c r="B111" s="207" t="s">
        <v>18</v>
      </c>
      <c r="C111" s="161">
        <v>40499</v>
      </c>
      <c r="D111" s="317" t="s">
        <v>24</v>
      </c>
      <c r="E111" s="243">
        <v>216</v>
      </c>
      <c r="F111" s="243">
        <v>6</v>
      </c>
      <c r="G111" s="243">
        <v>8</v>
      </c>
      <c r="H111" s="188">
        <v>5700</v>
      </c>
      <c r="I111" s="176">
        <v>1097</v>
      </c>
      <c r="J111" s="163">
        <f t="shared" si="20"/>
        <v>182.83333333333334</v>
      </c>
      <c r="K111" s="189">
        <f t="shared" si="19"/>
        <v>5.195989061075661</v>
      </c>
      <c r="L111" s="190">
        <v>7549841</v>
      </c>
      <c r="M111" s="162">
        <v>796575</v>
      </c>
      <c r="N111" s="208">
        <f t="shared" si="21"/>
        <v>9.477878416972665</v>
      </c>
      <c r="O111" s="296"/>
      <c r="P111" s="288"/>
      <c r="Q111" s="66"/>
      <c r="R111" s="66"/>
      <c r="S111" s="66"/>
      <c r="T111" s="66"/>
    </row>
    <row r="112" spans="1:20" ht="13.5" customHeight="1">
      <c r="A112" s="223">
        <v>108</v>
      </c>
      <c r="B112" s="211" t="s">
        <v>18</v>
      </c>
      <c r="C112" s="161">
        <v>40499</v>
      </c>
      <c r="D112" s="232" t="s">
        <v>24</v>
      </c>
      <c r="E112" s="231">
        <v>216</v>
      </c>
      <c r="F112" s="231">
        <v>6</v>
      </c>
      <c r="G112" s="231">
        <v>9</v>
      </c>
      <c r="H112" s="188">
        <v>5414</v>
      </c>
      <c r="I112" s="176">
        <v>1277</v>
      </c>
      <c r="J112" s="163">
        <f t="shared" si="20"/>
        <v>212.83333333333334</v>
      </c>
      <c r="K112" s="189">
        <f t="shared" si="19"/>
        <v>4.239624119028974</v>
      </c>
      <c r="L112" s="190">
        <v>7555255</v>
      </c>
      <c r="M112" s="162">
        <v>797852</v>
      </c>
      <c r="N112" s="208">
        <f t="shared" si="21"/>
        <v>9.4694943423091</v>
      </c>
      <c r="O112" s="399"/>
      <c r="P112" s="288"/>
      <c r="Q112" s="66"/>
      <c r="R112" s="66"/>
      <c r="S112" s="66"/>
      <c r="T112" s="66"/>
    </row>
    <row r="113" spans="1:20" ht="13.5" customHeight="1">
      <c r="A113" s="223">
        <v>109</v>
      </c>
      <c r="B113" s="207" t="s">
        <v>18</v>
      </c>
      <c r="C113" s="161">
        <v>40499</v>
      </c>
      <c r="D113" s="244" t="s">
        <v>24</v>
      </c>
      <c r="E113" s="243">
        <v>216</v>
      </c>
      <c r="F113" s="243">
        <v>3</v>
      </c>
      <c r="G113" s="243">
        <v>13</v>
      </c>
      <c r="H113" s="188">
        <v>1907</v>
      </c>
      <c r="I113" s="176">
        <v>449</v>
      </c>
      <c r="J113" s="163">
        <f t="shared" si="20"/>
        <v>149.66666666666666</v>
      </c>
      <c r="K113" s="189">
        <f t="shared" si="19"/>
        <v>4.247216035634744</v>
      </c>
      <c r="L113" s="190">
        <v>7557967</v>
      </c>
      <c r="M113" s="162">
        <v>798432</v>
      </c>
      <c r="N113" s="208">
        <f t="shared" si="21"/>
        <v>9.466012133782213</v>
      </c>
      <c r="O113" s="414"/>
      <c r="P113" s="288"/>
      <c r="Q113" s="66"/>
      <c r="R113" s="66"/>
      <c r="S113" s="66"/>
      <c r="T113" s="66"/>
    </row>
    <row r="114" spans="1:20" ht="13.5" customHeight="1">
      <c r="A114" s="223">
        <v>110</v>
      </c>
      <c r="B114" s="374" t="s">
        <v>18</v>
      </c>
      <c r="C114" s="161">
        <v>40499</v>
      </c>
      <c r="D114" s="244" t="s">
        <v>24</v>
      </c>
      <c r="E114" s="243">
        <v>216</v>
      </c>
      <c r="F114" s="243">
        <v>1</v>
      </c>
      <c r="G114" s="243">
        <v>10</v>
      </c>
      <c r="H114" s="188">
        <v>280</v>
      </c>
      <c r="I114" s="176">
        <v>46</v>
      </c>
      <c r="J114" s="163">
        <f t="shared" si="20"/>
        <v>46</v>
      </c>
      <c r="K114" s="189">
        <f t="shared" si="19"/>
        <v>6.086956521739131</v>
      </c>
      <c r="L114" s="190">
        <v>7555535</v>
      </c>
      <c r="M114" s="162">
        <v>797898</v>
      </c>
      <c r="N114" s="208">
        <f t="shared" si="21"/>
        <v>9.469299334000086</v>
      </c>
      <c r="O114" s="268"/>
      <c r="P114" s="288"/>
      <c r="Q114" s="66"/>
      <c r="R114" s="66"/>
      <c r="S114" s="66"/>
      <c r="T114" s="66"/>
    </row>
    <row r="115" spans="1:20" ht="13.5" customHeight="1">
      <c r="A115" s="223">
        <v>111</v>
      </c>
      <c r="B115" s="211" t="s">
        <v>18</v>
      </c>
      <c r="C115" s="161">
        <v>40499</v>
      </c>
      <c r="D115" s="232" t="s">
        <v>24</v>
      </c>
      <c r="E115" s="231">
        <v>216</v>
      </c>
      <c r="F115" s="231">
        <v>1</v>
      </c>
      <c r="G115" s="231">
        <v>12</v>
      </c>
      <c r="H115" s="188">
        <v>265</v>
      </c>
      <c r="I115" s="176">
        <v>42</v>
      </c>
      <c r="J115" s="163">
        <f t="shared" si="20"/>
        <v>42</v>
      </c>
      <c r="K115" s="189">
        <f t="shared" si="19"/>
        <v>6.309523809523809</v>
      </c>
      <c r="L115" s="190">
        <v>7556060</v>
      </c>
      <c r="M115" s="162">
        <v>797983</v>
      </c>
      <c r="N115" s="208">
        <f t="shared" si="21"/>
        <v>9.468948586624025</v>
      </c>
      <c r="O115" s="415"/>
      <c r="P115" s="288"/>
      <c r="Q115" s="66"/>
      <c r="R115" s="66"/>
      <c r="S115" s="66"/>
      <c r="T115" s="66"/>
    </row>
    <row r="116" spans="1:20" ht="13.5" customHeight="1">
      <c r="A116" s="223">
        <v>112</v>
      </c>
      <c r="B116" s="207" t="s">
        <v>18</v>
      </c>
      <c r="C116" s="161">
        <v>40499</v>
      </c>
      <c r="D116" s="244" t="s">
        <v>24</v>
      </c>
      <c r="E116" s="243">
        <v>216</v>
      </c>
      <c r="F116" s="243">
        <v>1</v>
      </c>
      <c r="G116" s="243">
        <v>11</v>
      </c>
      <c r="H116" s="188">
        <v>260</v>
      </c>
      <c r="I116" s="176">
        <v>43</v>
      </c>
      <c r="J116" s="163">
        <f t="shared" si="20"/>
        <v>43</v>
      </c>
      <c r="K116" s="189">
        <f t="shared" si="19"/>
        <v>6.046511627906977</v>
      </c>
      <c r="L116" s="190">
        <v>7555795</v>
      </c>
      <c r="M116" s="162">
        <v>797941</v>
      </c>
      <c r="N116" s="208">
        <f t="shared" si="21"/>
        <v>9.46911488443381</v>
      </c>
      <c r="O116" s="268"/>
      <c r="P116" s="288"/>
      <c r="Q116" s="66"/>
      <c r="R116" s="66"/>
      <c r="S116" s="66"/>
      <c r="T116" s="66"/>
    </row>
    <row r="117" spans="1:20" ht="13.5" customHeight="1">
      <c r="A117" s="223">
        <v>113</v>
      </c>
      <c r="B117" s="205" t="s">
        <v>143</v>
      </c>
      <c r="C117" s="164">
        <v>39899</v>
      </c>
      <c r="D117" s="229" t="s">
        <v>118</v>
      </c>
      <c r="E117" s="241">
        <v>16</v>
      </c>
      <c r="F117" s="241">
        <v>1</v>
      </c>
      <c r="G117" s="241">
        <v>22</v>
      </c>
      <c r="H117" s="191">
        <v>2140</v>
      </c>
      <c r="I117" s="177">
        <v>535</v>
      </c>
      <c r="J117" s="170">
        <f aca="true" t="shared" si="22" ref="J117:J122">(I117/F117)</f>
        <v>535</v>
      </c>
      <c r="K117" s="192">
        <f t="shared" si="19"/>
        <v>4</v>
      </c>
      <c r="L117" s="193">
        <f>31480+15536+8716+2149+2897+1360+2390+1251+322+381+329+492+928+436+1103+1913+46+240+669.28+648.46+226+2140</f>
        <v>75652.74</v>
      </c>
      <c r="M117" s="169">
        <f>3450+1778+1361+440+508+248+548+290+68+72+58+96+96+70+137+309+9+48+150+151+48+535</f>
        <v>10470</v>
      </c>
      <c r="N117" s="210">
        <f aca="true" t="shared" si="23" ref="N117:N122">L117/M117</f>
        <v>7.225667621776505</v>
      </c>
      <c r="O117" s="414">
        <v>1</v>
      </c>
      <c r="P117" s="288"/>
      <c r="Q117" s="66"/>
      <c r="R117" s="66"/>
      <c r="S117" s="66"/>
      <c r="T117" s="66"/>
    </row>
    <row r="118" spans="1:20" ht="13.5" customHeight="1">
      <c r="A118" s="223">
        <v>114</v>
      </c>
      <c r="B118" s="240" t="s">
        <v>155</v>
      </c>
      <c r="C118" s="257">
        <v>39892</v>
      </c>
      <c r="D118" s="229" t="s">
        <v>118</v>
      </c>
      <c r="E118" s="230">
        <v>5</v>
      </c>
      <c r="F118" s="230">
        <v>1</v>
      </c>
      <c r="G118" s="230">
        <v>24</v>
      </c>
      <c r="H118" s="194">
        <v>952</v>
      </c>
      <c r="I118" s="180">
        <v>238</v>
      </c>
      <c r="J118" s="255">
        <f t="shared" si="22"/>
        <v>238</v>
      </c>
      <c r="K118" s="259">
        <f t="shared" si="19"/>
        <v>4</v>
      </c>
      <c r="L118" s="196">
        <f>18881.5+13473+6553+4173.5+2378+3269+2172+792+240+60+1236+552+1321+1757+465+884+565+65+261+952+114+51+2376+952</f>
        <v>63543</v>
      </c>
      <c r="M118" s="167">
        <f>2268+1745+795+568+579+610+541+209+80+20+215+68+169+337+93+144+93+15+56+238+23+20+594+238</f>
        <v>9718</v>
      </c>
      <c r="N118" s="385">
        <f t="shared" si="23"/>
        <v>6.538691088701379</v>
      </c>
      <c r="O118" s="399"/>
      <c r="P118" s="288"/>
      <c r="Q118" s="66"/>
      <c r="R118" s="66"/>
      <c r="S118" s="66"/>
      <c r="T118" s="66"/>
    </row>
    <row r="119" spans="1:20" ht="13.5" customHeight="1">
      <c r="A119" s="223">
        <v>115</v>
      </c>
      <c r="B119" s="381" t="s">
        <v>132</v>
      </c>
      <c r="C119" s="340">
        <v>39995</v>
      </c>
      <c r="D119" s="229" t="s">
        <v>118</v>
      </c>
      <c r="E119" s="341">
        <v>209</v>
      </c>
      <c r="F119" s="341">
        <v>1</v>
      </c>
      <c r="G119" s="341">
        <v>62</v>
      </c>
      <c r="H119" s="304">
        <v>1780</v>
      </c>
      <c r="I119" s="315">
        <v>445</v>
      </c>
      <c r="J119" s="316">
        <f t="shared" si="22"/>
        <v>445</v>
      </c>
      <c r="K119" s="311">
        <f t="shared" si="19"/>
        <v>4</v>
      </c>
      <c r="L119" s="184">
        <f>11405777.5+385+1188+6614+2968+1417+277+2612+1424+952+1780</f>
        <v>11425394.5</v>
      </c>
      <c r="M119" s="266">
        <f>1424397+63+297+1638+742+364+66+653+356+238+445</f>
        <v>1429259</v>
      </c>
      <c r="N119" s="185">
        <f t="shared" si="23"/>
        <v>7.993928672130104</v>
      </c>
      <c r="O119" s="399"/>
      <c r="P119" s="288"/>
      <c r="Q119" s="66"/>
      <c r="R119" s="66"/>
      <c r="S119" s="66"/>
      <c r="T119" s="66"/>
    </row>
    <row r="120" spans="1:20" ht="13.5" customHeight="1">
      <c r="A120" s="223">
        <v>116</v>
      </c>
      <c r="B120" s="383" t="s">
        <v>132</v>
      </c>
      <c r="C120" s="175">
        <v>39995</v>
      </c>
      <c r="D120" s="229" t="s">
        <v>118</v>
      </c>
      <c r="E120" s="247">
        <v>209</v>
      </c>
      <c r="F120" s="247">
        <v>1</v>
      </c>
      <c r="G120" s="247">
        <v>61</v>
      </c>
      <c r="H120" s="191">
        <v>952</v>
      </c>
      <c r="I120" s="177">
        <v>238</v>
      </c>
      <c r="J120" s="170">
        <f t="shared" si="22"/>
        <v>238</v>
      </c>
      <c r="K120" s="192">
        <f t="shared" si="19"/>
        <v>4</v>
      </c>
      <c r="L120" s="193">
        <f>11405777.5+385+1188+6614+2968+1417+277+2612+1424+952</f>
        <v>11423614.5</v>
      </c>
      <c r="M120" s="169">
        <f>1424397+63+297+1638+742+364+66+653+356+238</f>
        <v>1428814</v>
      </c>
      <c r="N120" s="210">
        <f t="shared" si="23"/>
        <v>7.995172569697665</v>
      </c>
      <c r="O120" s="268"/>
      <c r="P120" s="288"/>
      <c r="Q120" s="66"/>
      <c r="R120" s="66"/>
      <c r="S120" s="66"/>
      <c r="T120" s="66"/>
    </row>
    <row r="121" spans="1:20" ht="13.5" customHeight="1">
      <c r="A121" s="223">
        <v>117</v>
      </c>
      <c r="B121" s="240" t="s">
        <v>133</v>
      </c>
      <c r="C121" s="164">
        <v>39738</v>
      </c>
      <c r="D121" s="229" t="s">
        <v>118</v>
      </c>
      <c r="E121" s="230">
        <v>67</v>
      </c>
      <c r="F121" s="230">
        <v>1</v>
      </c>
      <c r="G121" s="230">
        <v>44</v>
      </c>
      <c r="H121" s="191">
        <v>1780</v>
      </c>
      <c r="I121" s="177">
        <v>445</v>
      </c>
      <c r="J121" s="170">
        <f t="shared" si="22"/>
        <v>445</v>
      </c>
      <c r="K121" s="192">
        <f t="shared" si="19"/>
        <v>4</v>
      </c>
      <c r="L121" s="193">
        <f>575413.5+2968+2376+2737+2376+2376+4752+2376+952+1780</f>
        <v>598106.5</v>
      </c>
      <c r="M121" s="169">
        <f>83313+742+594+635+594+594+1188+594+238+445</f>
        <v>88937</v>
      </c>
      <c r="N121" s="210">
        <f t="shared" si="23"/>
        <v>6.725058187256147</v>
      </c>
      <c r="O121" s="415"/>
      <c r="P121" s="288"/>
      <c r="Q121" s="66"/>
      <c r="R121" s="66"/>
      <c r="S121" s="66"/>
      <c r="T121" s="66"/>
    </row>
    <row r="122" spans="1:20" ht="13.5" customHeight="1">
      <c r="A122" s="223">
        <v>118</v>
      </c>
      <c r="B122" s="205" t="s">
        <v>133</v>
      </c>
      <c r="C122" s="164">
        <v>39738</v>
      </c>
      <c r="D122" s="229" t="s">
        <v>118</v>
      </c>
      <c r="E122" s="241">
        <v>67</v>
      </c>
      <c r="F122" s="241">
        <v>1</v>
      </c>
      <c r="G122" s="241">
        <v>43</v>
      </c>
      <c r="H122" s="191">
        <v>952</v>
      </c>
      <c r="I122" s="177">
        <v>238</v>
      </c>
      <c r="J122" s="170">
        <f t="shared" si="22"/>
        <v>238</v>
      </c>
      <c r="K122" s="192">
        <f t="shared" si="19"/>
        <v>4</v>
      </c>
      <c r="L122" s="193">
        <f>575413.5+2968+2376+2737+2376+2376+4752+2376+952</f>
        <v>596326.5</v>
      </c>
      <c r="M122" s="169">
        <f>83313+742+594+635+594+594+1188+594+238</f>
        <v>88492</v>
      </c>
      <c r="N122" s="210">
        <f t="shared" si="23"/>
        <v>6.738761695972517</v>
      </c>
      <c r="O122" s="268"/>
      <c r="P122" s="288"/>
      <c r="Q122" s="66"/>
      <c r="R122" s="66"/>
      <c r="S122" s="66"/>
      <c r="T122" s="66"/>
    </row>
    <row r="123" spans="1:20" ht="13.5" customHeight="1">
      <c r="A123" s="223">
        <v>119</v>
      </c>
      <c r="B123" s="207" t="s">
        <v>144</v>
      </c>
      <c r="C123" s="161">
        <v>40389</v>
      </c>
      <c r="D123" s="244" t="s">
        <v>24</v>
      </c>
      <c r="E123" s="243">
        <v>139</v>
      </c>
      <c r="F123" s="243">
        <v>1</v>
      </c>
      <c r="G123" s="243">
        <v>23</v>
      </c>
      <c r="H123" s="188">
        <v>9523</v>
      </c>
      <c r="I123" s="176">
        <v>1587</v>
      </c>
      <c r="J123" s="163">
        <f>I123/F123</f>
        <v>1587</v>
      </c>
      <c r="K123" s="189">
        <f t="shared" si="19"/>
        <v>6.000630119722747</v>
      </c>
      <c r="L123" s="190">
        <v>11041118</v>
      </c>
      <c r="M123" s="162">
        <v>1103147</v>
      </c>
      <c r="N123" s="208">
        <f>+L123/M123</f>
        <v>10.008745887900705</v>
      </c>
      <c r="O123" s="268"/>
      <c r="P123" s="288"/>
      <c r="Q123" s="66"/>
      <c r="R123" s="66"/>
      <c r="S123" s="66"/>
      <c r="T123" s="66"/>
    </row>
    <row r="124" spans="1:20" ht="13.5" customHeight="1">
      <c r="A124" s="223">
        <v>120</v>
      </c>
      <c r="B124" s="207" t="s">
        <v>144</v>
      </c>
      <c r="C124" s="161">
        <v>40389</v>
      </c>
      <c r="D124" s="244" t="s">
        <v>24</v>
      </c>
      <c r="E124" s="243">
        <v>139</v>
      </c>
      <c r="F124" s="243">
        <v>2</v>
      </c>
      <c r="G124" s="243">
        <v>22</v>
      </c>
      <c r="H124" s="188">
        <v>1178</v>
      </c>
      <c r="I124" s="176">
        <v>911</v>
      </c>
      <c r="J124" s="163">
        <f>I124/F124</f>
        <v>455.5</v>
      </c>
      <c r="K124" s="189">
        <f t="shared" si="19"/>
        <v>1.2930845225027443</v>
      </c>
      <c r="L124" s="190">
        <v>11031595</v>
      </c>
      <c r="M124" s="162">
        <v>1101560</v>
      </c>
      <c r="N124" s="208">
        <f>+L124/M124</f>
        <v>10.014520316641853</v>
      </c>
      <c r="O124" s="414"/>
      <c r="P124" s="288"/>
      <c r="Q124" s="66"/>
      <c r="R124" s="66"/>
      <c r="S124" s="66"/>
      <c r="T124" s="66"/>
    </row>
    <row r="125" spans="1:20" ht="13.5" customHeight="1">
      <c r="A125" s="223">
        <v>121</v>
      </c>
      <c r="B125" s="211" t="s">
        <v>22</v>
      </c>
      <c r="C125" s="161">
        <v>40480</v>
      </c>
      <c r="D125" s="245" t="s">
        <v>27</v>
      </c>
      <c r="E125" s="231">
        <v>1</v>
      </c>
      <c r="F125" s="231">
        <v>1</v>
      </c>
      <c r="G125" s="231">
        <v>9</v>
      </c>
      <c r="H125" s="194">
        <v>368</v>
      </c>
      <c r="I125" s="180">
        <v>57</v>
      </c>
      <c r="J125" s="168">
        <f>+I125/F125</f>
        <v>57</v>
      </c>
      <c r="K125" s="195">
        <f>+H125/I125</f>
        <v>6.456140350877193</v>
      </c>
      <c r="L125" s="196">
        <v>14543</v>
      </c>
      <c r="M125" s="167">
        <v>1072</v>
      </c>
      <c r="N125" s="212">
        <f>+L125/M125</f>
        <v>13.566231343283581</v>
      </c>
      <c r="O125" s="414"/>
      <c r="P125" s="288"/>
      <c r="Q125" s="66"/>
      <c r="R125" s="66"/>
      <c r="S125" s="66"/>
      <c r="T125" s="66"/>
    </row>
    <row r="126" spans="1:20" ht="13.5" customHeight="1">
      <c r="A126" s="223">
        <v>122</v>
      </c>
      <c r="B126" s="211" t="s">
        <v>22</v>
      </c>
      <c r="C126" s="161">
        <v>40480</v>
      </c>
      <c r="D126" s="245" t="s">
        <v>27</v>
      </c>
      <c r="E126" s="231">
        <v>1</v>
      </c>
      <c r="F126" s="231">
        <v>1</v>
      </c>
      <c r="G126" s="231">
        <v>10</v>
      </c>
      <c r="H126" s="194">
        <v>266</v>
      </c>
      <c r="I126" s="180">
        <v>38</v>
      </c>
      <c r="J126" s="168">
        <f>+I126/F126</f>
        <v>38</v>
      </c>
      <c r="K126" s="195">
        <f>+H126/I126</f>
        <v>7</v>
      </c>
      <c r="L126" s="196">
        <v>14809</v>
      </c>
      <c r="M126" s="167">
        <v>1110</v>
      </c>
      <c r="N126" s="212">
        <f>+L126/M126</f>
        <v>13.341441441441441</v>
      </c>
      <c r="O126" s="296"/>
      <c r="P126" s="288"/>
      <c r="Q126" s="66"/>
      <c r="R126" s="66"/>
      <c r="S126" s="66"/>
      <c r="T126" s="66"/>
    </row>
    <row r="127" spans="1:20" ht="13.5" customHeight="1">
      <c r="A127" s="223">
        <v>123</v>
      </c>
      <c r="B127" s="379" t="s">
        <v>22</v>
      </c>
      <c r="C127" s="161">
        <v>40480</v>
      </c>
      <c r="D127" s="346" t="s">
        <v>27</v>
      </c>
      <c r="E127" s="231">
        <v>1</v>
      </c>
      <c r="F127" s="231">
        <v>1</v>
      </c>
      <c r="G127" s="231">
        <v>8</v>
      </c>
      <c r="H127" s="347">
        <v>42</v>
      </c>
      <c r="I127" s="180">
        <v>6</v>
      </c>
      <c r="J127" s="168">
        <f>+I127/F127</f>
        <v>6</v>
      </c>
      <c r="K127" s="326">
        <f>+H127/I127</f>
        <v>7</v>
      </c>
      <c r="L127" s="348">
        <v>14175</v>
      </c>
      <c r="M127" s="167">
        <v>1015</v>
      </c>
      <c r="N127" s="376">
        <f>+L127/M127</f>
        <v>13.96551724137931</v>
      </c>
      <c r="O127" s="268"/>
      <c r="P127" s="288"/>
      <c r="Q127" s="66"/>
      <c r="R127" s="66"/>
      <c r="S127" s="66"/>
      <c r="T127" s="66"/>
    </row>
    <row r="128" spans="1:20" ht="13.5" customHeight="1">
      <c r="A128" s="223">
        <v>124</v>
      </c>
      <c r="B128" s="240" t="s">
        <v>168</v>
      </c>
      <c r="C128" s="257">
        <v>39710</v>
      </c>
      <c r="D128" s="229" t="s">
        <v>118</v>
      </c>
      <c r="E128" s="230">
        <v>1</v>
      </c>
      <c r="F128" s="230">
        <v>1</v>
      </c>
      <c r="G128" s="230">
        <v>16</v>
      </c>
      <c r="H128" s="304">
        <v>236</v>
      </c>
      <c r="I128" s="315">
        <v>59</v>
      </c>
      <c r="J128" s="316">
        <f>(I128/F128)</f>
        <v>59</v>
      </c>
      <c r="K128" s="311">
        <f>H128/I128</f>
        <v>4</v>
      </c>
      <c r="L128" s="184">
        <f>11305+5960+2538+2056+455+891+1621+1302+712+1484+1484+1424+1188+1188+1188+236</f>
        <v>35032</v>
      </c>
      <c r="M128" s="266">
        <f>835+676+295+239+136+275+187+148+178+371+371+356+297+297+297+59</f>
        <v>5017</v>
      </c>
      <c r="N128" s="185">
        <f>L128/M128</f>
        <v>6.982658959537572</v>
      </c>
      <c r="O128" s="399"/>
      <c r="P128" s="288"/>
      <c r="Q128" s="66"/>
      <c r="R128" s="66"/>
      <c r="S128" s="66"/>
      <c r="T128" s="66"/>
    </row>
    <row r="129" spans="1:20" ht="13.5" customHeight="1">
      <c r="A129" s="223">
        <v>125</v>
      </c>
      <c r="B129" s="240" t="s">
        <v>156</v>
      </c>
      <c r="C129" s="257">
        <v>39997</v>
      </c>
      <c r="D129" s="229" t="s">
        <v>118</v>
      </c>
      <c r="E129" s="230">
        <v>5</v>
      </c>
      <c r="F129" s="230">
        <v>1</v>
      </c>
      <c r="G129" s="230">
        <v>21</v>
      </c>
      <c r="H129" s="191">
        <v>952</v>
      </c>
      <c r="I129" s="177">
        <v>238</v>
      </c>
      <c r="J129" s="170">
        <f>(I129/F129)</f>
        <v>238</v>
      </c>
      <c r="K129" s="192">
        <f>H129/I129</f>
        <v>4</v>
      </c>
      <c r="L129" s="193">
        <f>18914.5+7321+4028.5+1674+6130+4818.5+6984.5+5012.5+1695+4556+3587.5+1286+2931+2868+2878.5+3369+1780+1780+162+63+952</f>
        <v>82791.5</v>
      </c>
      <c r="M129" s="169">
        <f>1467+674+673+324+645+765+779+620+311+670+508+195+503+424+502+755+445+445+35+21+238</f>
        <v>10999</v>
      </c>
      <c r="N129" s="210">
        <f>L129/M129</f>
        <v>7.527184289480862</v>
      </c>
      <c r="O129" s="399"/>
      <c r="P129" s="288"/>
      <c r="Q129" s="66"/>
      <c r="R129" s="66"/>
      <c r="S129" s="66"/>
      <c r="T129" s="66"/>
    </row>
    <row r="130" spans="1:20" ht="13.5" customHeight="1">
      <c r="A130" s="223">
        <v>126</v>
      </c>
      <c r="B130" s="205" t="s">
        <v>97</v>
      </c>
      <c r="C130" s="164">
        <v>40424</v>
      </c>
      <c r="D130" s="229" t="s">
        <v>118</v>
      </c>
      <c r="E130" s="241">
        <v>5</v>
      </c>
      <c r="F130" s="241">
        <v>1</v>
      </c>
      <c r="G130" s="241">
        <v>10</v>
      </c>
      <c r="H130" s="191">
        <v>1188</v>
      </c>
      <c r="I130" s="177">
        <v>297</v>
      </c>
      <c r="J130" s="170">
        <f>(I130/F130)</f>
        <v>297</v>
      </c>
      <c r="K130" s="192">
        <f>H130/I130</f>
        <v>4</v>
      </c>
      <c r="L130" s="193">
        <f>11822.5+3468.5+3273+3742.5+3152+1092+927+1058+2153.5+1188</f>
        <v>31877</v>
      </c>
      <c r="M130" s="169">
        <f>827+293+410+398+368+137+124+170+462+297</f>
        <v>3486</v>
      </c>
      <c r="N130" s="210">
        <f>L130/M130</f>
        <v>9.144291451520367</v>
      </c>
      <c r="O130" s="297"/>
      <c r="P130" s="288"/>
      <c r="Q130" s="66"/>
      <c r="R130" s="66"/>
      <c r="S130" s="66"/>
      <c r="T130" s="66"/>
    </row>
    <row r="131" spans="1:20" ht="15">
      <c r="A131" s="223">
        <v>127</v>
      </c>
      <c r="B131" s="211" t="s">
        <v>107</v>
      </c>
      <c r="C131" s="161">
        <v>39647</v>
      </c>
      <c r="D131" s="232" t="s">
        <v>17</v>
      </c>
      <c r="E131" s="231">
        <v>108</v>
      </c>
      <c r="F131" s="231">
        <v>1</v>
      </c>
      <c r="G131" s="231">
        <v>20</v>
      </c>
      <c r="H131" s="197">
        <v>3020</v>
      </c>
      <c r="I131" s="181">
        <v>604</v>
      </c>
      <c r="J131" s="168">
        <f>+I131/F131</f>
        <v>604</v>
      </c>
      <c r="K131" s="195">
        <f>+H131/I131</f>
        <v>5</v>
      </c>
      <c r="L131" s="198">
        <f>4275145.5+3020</f>
        <v>4278165.5</v>
      </c>
      <c r="M131" s="165">
        <f>437002+604</f>
        <v>437606</v>
      </c>
      <c r="N131" s="212">
        <f>IF(L131&lt;&gt;0,L131/M131,"")</f>
        <v>9.776295343299681</v>
      </c>
      <c r="O131" s="399"/>
      <c r="P131" s="288"/>
      <c r="Q131" s="66"/>
      <c r="R131" s="66"/>
      <c r="S131" s="66"/>
      <c r="T131" s="66"/>
    </row>
    <row r="132" spans="1:20" ht="15">
      <c r="A132" s="223">
        <v>128</v>
      </c>
      <c r="B132" s="374" t="s">
        <v>124</v>
      </c>
      <c r="C132" s="161">
        <v>40452</v>
      </c>
      <c r="D132" s="244" t="s">
        <v>17</v>
      </c>
      <c r="E132" s="243">
        <v>67</v>
      </c>
      <c r="F132" s="243">
        <v>3</v>
      </c>
      <c r="G132" s="243">
        <v>12</v>
      </c>
      <c r="H132" s="197">
        <v>1188</v>
      </c>
      <c r="I132" s="181">
        <v>297</v>
      </c>
      <c r="J132" s="168">
        <f>IF(H132&lt;&gt;0,I132/F132,"")</f>
        <v>99</v>
      </c>
      <c r="K132" s="195">
        <f>IF(H132&lt;&gt;0,H132/I132,"")</f>
        <v>4</v>
      </c>
      <c r="L132" s="198">
        <f>148907+7057+8529+4040+573.5+1227+412+727+521+258+1188</f>
        <v>173439.5</v>
      </c>
      <c r="M132" s="165">
        <f>14954+1128+1323+621+141+331+59+105+73+51+297</f>
        <v>19083</v>
      </c>
      <c r="N132" s="212">
        <f>IF(L132&lt;&gt;0,L132/M132,"")</f>
        <v>9.08869150552848</v>
      </c>
      <c r="O132" s="296">
        <v>1</v>
      </c>
      <c r="P132" s="288"/>
      <c r="Q132" s="66"/>
      <c r="R132" s="66"/>
      <c r="S132" s="66"/>
      <c r="T132" s="66"/>
    </row>
    <row r="133" spans="1:20" ht="15">
      <c r="A133" s="223">
        <v>129</v>
      </c>
      <c r="B133" s="374" t="s">
        <v>66</v>
      </c>
      <c r="C133" s="161">
        <v>40452</v>
      </c>
      <c r="D133" s="317" t="s">
        <v>17</v>
      </c>
      <c r="E133" s="243">
        <v>67</v>
      </c>
      <c r="F133" s="243">
        <v>3</v>
      </c>
      <c r="G133" s="243">
        <v>11</v>
      </c>
      <c r="H133" s="325">
        <v>258</v>
      </c>
      <c r="I133" s="181">
        <v>51</v>
      </c>
      <c r="J133" s="168">
        <f>IF(H133&lt;&gt;0,I133/F133,"")</f>
        <v>17</v>
      </c>
      <c r="K133" s="326">
        <f>IF(H133&lt;&gt;0,H133/I133,"")</f>
        <v>5.0588235294117645</v>
      </c>
      <c r="L133" s="327">
        <f>148907+7057+8529+4040+573.5+1227+412+727+521+H133</f>
        <v>172251.5</v>
      </c>
      <c r="M133" s="165">
        <f>14954+1128+1323+621+141+331+59+105+73+I133</f>
        <v>18786</v>
      </c>
      <c r="N133" s="376">
        <f>IF(L133&lt;&gt;0,L133/M133,"")</f>
        <v>9.16914191419142</v>
      </c>
      <c r="O133" s="268">
        <v>1</v>
      </c>
      <c r="P133" s="288"/>
      <c r="Q133" s="66"/>
      <c r="R133" s="66"/>
      <c r="S133" s="66"/>
      <c r="T133" s="66"/>
    </row>
    <row r="134" spans="1:20" ht="15">
      <c r="A134" s="223">
        <v>130</v>
      </c>
      <c r="B134" s="211" t="s">
        <v>124</v>
      </c>
      <c r="C134" s="321">
        <v>40452</v>
      </c>
      <c r="D134" s="232" t="s">
        <v>17</v>
      </c>
      <c r="E134" s="231">
        <v>67</v>
      </c>
      <c r="F134" s="231">
        <v>1</v>
      </c>
      <c r="G134" s="231">
        <v>13</v>
      </c>
      <c r="H134" s="325">
        <v>129</v>
      </c>
      <c r="I134" s="344">
        <v>19</v>
      </c>
      <c r="J134" s="345">
        <f>IF(H134&lt;&gt;0,I134/F134,"")</f>
        <v>19</v>
      </c>
      <c r="K134" s="326">
        <f>IF(H134&lt;&gt;0,H134/I134,"")</f>
        <v>6.7894736842105265</v>
      </c>
      <c r="L134" s="327">
        <f>148907+7057+8529+4040+573.5+1227+412+727+521+258+1188+129</f>
        <v>173568.5</v>
      </c>
      <c r="M134" s="265">
        <f>14954+1128+1323+621+141+331+59+105+73+51+297+19</f>
        <v>19102</v>
      </c>
      <c r="N134" s="376">
        <f>IF(L134&lt;&gt;0,L134/M134,"")</f>
        <v>9.086404564967019</v>
      </c>
      <c r="O134" s="399">
        <v>1</v>
      </c>
      <c r="P134" s="288"/>
      <c r="Q134" s="66"/>
      <c r="R134" s="66"/>
      <c r="S134" s="66"/>
      <c r="T134" s="66"/>
    </row>
    <row r="135" spans="1:20" ht="15">
      <c r="A135" s="223">
        <v>131</v>
      </c>
      <c r="B135" s="381" t="s">
        <v>152</v>
      </c>
      <c r="C135" s="340">
        <v>40368</v>
      </c>
      <c r="D135" s="229" t="s">
        <v>118</v>
      </c>
      <c r="E135" s="341">
        <v>126</v>
      </c>
      <c r="F135" s="341">
        <v>1</v>
      </c>
      <c r="G135" s="341">
        <v>23</v>
      </c>
      <c r="H135" s="191">
        <v>1782</v>
      </c>
      <c r="I135" s="177">
        <v>445</v>
      </c>
      <c r="J135" s="170">
        <f>(I135/F135)</f>
        <v>445</v>
      </c>
      <c r="K135" s="192">
        <f>H135/I135</f>
        <v>4.004494382022472</v>
      </c>
      <c r="L135" s="193">
        <f>2106797.5+50230.5+32558.5+15249.5+15137+17418.5+7784.5+2808+2841.5+1328+2453+1693+613+726+713+1425.5+1782+1437+1782</f>
        <v>2264778</v>
      </c>
      <c r="M135" s="169">
        <f>220679+7944+5486+2451+2714+3159+1414+494+658+202+452+398+85+227+178+356+445+228+445</f>
        <v>248015</v>
      </c>
      <c r="N135" s="210">
        <f>L135/M135</f>
        <v>9.131617039291978</v>
      </c>
      <c r="O135" s="399"/>
      <c r="P135" s="288"/>
      <c r="Q135" s="66"/>
      <c r="R135" s="66"/>
      <c r="S135" s="66"/>
      <c r="T135" s="66"/>
    </row>
    <row r="136" spans="1:20" ht="15">
      <c r="A136" s="223">
        <v>132</v>
      </c>
      <c r="B136" s="205" t="s">
        <v>192</v>
      </c>
      <c r="C136" s="164">
        <v>40284</v>
      </c>
      <c r="D136" s="242" t="s">
        <v>118</v>
      </c>
      <c r="E136" s="241">
        <v>14</v>
      </c>
      <c r="F136" s="241">
        <v>1</v>
      </c>
      <c r="G136" s="241">
        <v>22</v>
      </c>
      <c r="H136" s="191">
        <v>1307</v>
      </c>
      <c r="I136" s="177">
        <v>327</v>
      </c>
      <c r="J136" s="170">
        <f>(I136/F136)</f>
        <v>327</v>
      </c>
      <c r="K136" s="192">
        <f>H136/I136</f>
        <v>3.996941896024465</v>
      </c>
      <c r="L136" s="193">
        <f>45403.5+26416+19522+5885+5520+2576+2604+1325+840+957.5+196+2970+1095+960+1330+1159+1173+1901+475+2019.5+1188+1307</f>
        <v>126822.5</v>
      </c>
      <c r="M136" s="169">
        <f>4053+2594+2599+732+962+495+470+215+146+347+28+743+229+194+270+236+188+475+119+505+297+327</f>
        <v>16224</v>
      </c>
      <c r="N136" s="210">
        <f>L136/M136</f>
        <v>7.816968688362919</v>
      </c>
      <c r="O136" s="268">
        <v>1</v>
      </c>
      <c r="P136" s="288"/>
      <c r="Q136" s="66"/>
      <c r="R136" s="66"/>
      <c r="S136" s="66"/>
      <c r="T136" s="66"/>
    </row>
    <row r="137" spans="1:20" ht="15">
      <c r="A137" s="223">
        <v>133</v>
      </c>
      <c r="B137" s="211" t="s">
        <v>81</v>
      </c>
      <c r="C137" s="161">
        <v>40480</v>
      </c>
      <c r="D137" s="232" t="s">
        <v>17</v>
      </c>
      <c r="E137" s="231">
        <v>71</v>
      </c>
      <c r="F137" s="231">
        <v>2</v>
      </c>
      <c r="G137" s="231">
        <v>11</v>
      </c>
      <c r="H137" s="197">
        <v>3270</v>
      </c>
      <c r="I137" s="181">
        <v>654</v>
      </c>
      <c r="J137" s="168">
        <f>IF(H137&lt;&gt;0,I137/F137,"")</f>
        <v>327</v>
      </c>
      <c r="K137" s="195">
        <f>IF(H137&lt;&gt;0,H137/I137,"")</f>
        <v>5</v>
      </c>
      <c r="L137" s="198">
        <f>72774.5+23673+5827+3625+7534.5+38620+936+11563+4979+496.5+3270</f>
        <v>173298.5</v>
      </c>
      <c r="M137" s="165">
        <f>8533+3652+916+601+1795+7393+145+2290+697+79+654</f>
        <v>26755</v>
      </c>
      <c r="N137" s="212">
        <f>IF(L137&lt;&gt;0,L137/M137,"")</f>
        <v>6.4772378994580455</v>
      </c>
      <c r="O137" s="399">
        <v>1</v>
      </c>
      <c r="P137" s="288"/>
      <c r="Q137" s="66"/>
      <c r="R137" s="66"/>
      <c r="S137" s="66"/>
      <c r="T137" s="66"/>
    </row>
    <row r="138" spans="1:20" ht="15">
      <c r="A138" s="223">
        <v>134</v>
      </c>
      <c r="B138" s="374" t="s">
        <v>81</v>
      </c>
      <c r="C138" s="161">
        <v>40480</v>
      </c>
      <c r="D138" s="244" t="s">
        <v>17</v>
      </c>
      <c r="E138" s="243">
        <v>71</v>
      </c>
      <c r="F138" s="243">
        <v>1</v>
      </c>
      <c r="G138" s="243">
        <v>12</v>
      </c>
      <c r="H138" s="197">
        <v>526</v>
      </c>
      <c r="I138" s="181">
        <v>85</v>
      </c>
      <c r="J138" s="168">
        <f>IF(H138&lt;&gt;0,I138/F138,"")</f>
        <v>85</v>
      </c>
      <c r="K138" s="195">
        <f>IF(H138&lt;&gt;0,H138/I138,"")</f>
        <v>6.188235294117647</v>
      </c>
      <c r="L138" s="198">
        <f>72774.5+23673+5827+3625+7534.5+38620+936+11563+4979+496.5+3270+526</f>
        <v>173824.5</v>
      </c>
      <c r="M138" s="165">
        <f>8533+3652+916+601+1795+7393+145+2290+697+79+654+85</f>
        <v>26840</v>
      </c>
      <c r="N138" s="212">
        <f>IF(L138&lt;&gt;0,L138/M138,"")</f>
        <v>6.476322652757079</v>
      </c>
      <c r="O138" s="296">
        <v>1</v>
      </c>
      <c r="P138" s="288"/>
      <c r="Q138" s="66"/>
      <c r="R138" s="66"/>
      <c r="S138" s="66"/>
      <c r="T138" s="66"/>
    </row>
    <row r="139" spans="1:20" ht="15">
      <c r="A139" s="223">
        <v>135</v>
      </c>
      <c r="B139" s="374" t="s">
        <v>81</v>
      </c>
      <c r="C139" s="161">
        <v>40480</v>
      </c>
      <c r="D139" s="317" t="s">
        <v>17</v>
      </c>
      <c r="E139" s="243">
        <v>71</v>
      </c>
      <c r="F139" s="243">
        <v>8</v>
      </c>
      <c r="G139" s="243">
        <v>10</v>
      </c>
      <c r="H139" s="325">
        <v>496.5</v>
      </c>
      <c r="I139" s="181">
        <v>79</v>
      </c>
      <c r="J139" s="168">
        <f>IF(H139&lt;&gt;0,I139/F139,"")</f>
        <v>9.875</v>
      </c>
      <c r="K139" s="326">
        <f>IF(H139&lt;&gt;0,H139/I139,"")</f>
        <v>6.284810126582278</v>
      </c>
      <c r="L139" s="327">
        <f>72774.5+23673+5827+3625+7534.5+38620+936+11563+4979+H139</f>
        <v>170028.5</v>
      </c>
      <c r="M139" s="165">
        <f>8533+3652+916+601+1795+7393+145+2290+697+I139</f>
        <v>26101</v>
      </c>
      <c r="N139" s="376">
        <f>IF(L139&lt;&gt;0,L139/M139,"")</f>
        <v>6.514252327497031</v>
      </c>
      <c r="O139" s="268">
        <v>1</v>
      </c>
      <c r="P139" s="288"/>
      <c r="Q139" s="66"/>
      <c r="R139" s="66"/>
      <c r="S139" s="66"/>
      <c r="T139" s="66"/>
    </row>
    <row r="140" spans="1:20" ht="15">
      <c r="A140" s="223">
        <v>136</v>
      </c>
      <c r="B140" s="256" t="s">
        <v>142</v>
      </c>
      <c r="C140" s="161">
        <v>40067</v>
      </c>
      <c r="D140" s="244" t="s">
        <v>17</v>
      </c>
      <c r="E140" s="243">
        <v>105</v>
      </c>
      <c r="F140" s="243">
        <v>2</v>
      </c>
      <c r="G140" s="243">
        <v>48</v>
      </c>
      <c r="H140" s="197">
        <v>3071</v>
      </c>
      <c r="I140" s="181">
        <v>592</v>
      </c>
      <c r="J140" s="168">
        <f>IF(H140&lt;&gt;0,I140/F140,"")</f>
        <v>296</v>
      </c>
      <c r="K140" s="195">
        <f>IF(H140&lt;&gt;0,H140/I140,"")</f>
        <v>5.1875</v>
      </c>
      <c r="L140" s="198">
        <f>645861.5+391+1223+705+141+3564+3071</f>
        <v>654956.5</v>
      </c>
      <c r="M140" s="165">
        <f>78550+64+202+109+20+713+592</f>
        <v>80250</v>
      </c>
      <c r="N140" s="212">
        <f>IF(L140&lt;&gt;0,L140/M140,"")</f>
        <v>8.161451713395639</v>
      </c>
      <c r="O140" s="414"/>
      <c r="P140" s="288"/>
      <c r="Q140" s="66"/>
      <c r="R140" s="66"/>
      <c r="S140" s="66"/>
      <c r="T140" s="66"/>
    </row>
    <row r="141" spans="1:20" ht="15">
      <c r="A141" s="223">
        <v>137</v>
      </c>
      <c r="B141" s="371" t="s">
        <v>15</v>
      </c>
      <c r="C141" s="164">
        <v>40473</v>
      </c>
      <c r="D141" s="229" t="s">
        <v>118</v>
      </c>
      <c r="E141" s="241">
        <v>30</v>
      </c>
      <c r="F141" s="241">
        <v>10</v>
      </c>
      <c r="G141" s="241">
        <v>11</v>
      </c>
      <c r="H141" s="304">
        <v>8357</v>
      </c>
      <c r="I141" s="177">
        <v>1374</v>
      </c>
      <c r="J141" s="170">
        <f aca="true" t="shared" si="24" ref="J141:J148">(I141/F141)</f>
        <v>137.4</v>
      </c>
      <c r="K141" s="311">
        <f aca="true" t="shared" si="25" ref="K141:K148">H141/I141</f>
        <v>6.082241630276565</v>
      </c>
      <c r="L141" s="184">
        <f>140269+106844+7979+4849+4700.5+7059+2232+1390+2769+13917+8357</f>
        <v>300365.5</v>
      </c>
      <c r="M141" s="169">
        <f>11518+8629+641+577+660+1341+325+348+324+2259+1374</f>
        <v>27996</v>
      </c>
      <c r="N141" s="185">
        <f aca="true" t="shared" si="26" ref="N141:N148">L141/M141</f>
        <v>10.728871981711674</v>
      </c>
      <c r="O141" s="297"/>
      <c r="P141" s="288"/>
      <c r="Q141" s="66"/>
      <c r="R141" s="66"/>
      <c r="S141" s="66"/>
      <c r="T141" s="66"/>
    </row>
    <row r="142" spans="1:20" ht="15">
      <c r="A142" s="223">
        <v>138</v>
      </c>
      <c r="B142" s="372" t="s">
        <v>15</v>
      </c>
      <c r="C142" s="299">
        <v>40473</v>
      </c>
      <c r="D142" s="229" t="s">
        <v>118</v>
      </c>
      <c r="E142" s="301">
        <v>30</v>
      </c>
      <c r="F142" s="301">
        <v>3</v>
      </c>
      <c r="G142" s="301">
        <v>13</v>
      </c>
      <c r="H142" s="303">
        <v>4704</v>
      </c>
      <c r="I142" s="307">
        <v>506</v>
      </c>
      <c r="J142" s="308">
        <f t="shared" si="24"/>
        <v>168.66666666666666</v>
      </c>
      <c r="K142" s="310">
        <f t="shared" si="25"/>
        <v>9.296442687747035</v>
      </c>
      <c r="L142" s="313">
        <f>140269+106844+7979+4849+4700.5+7059+2232+1390+2769+13917+8357+891.5+4704</f>
        <v>305961</v>
      </c>
      <c r="M142" s="314">
        <f>11518+8629+641+577+660+1341+325+348+324+2259+1374+332+506</f>
        <v>28834</v>
      </c>
      <c r="N142" s="373">
        <f t="shared" si="26"/>
        <v>10.61111881806201</v>
      </c>
      <c r="O142" s="416"/>
      <c r="P142" s="288"/>
      <c r="Q142" s="66"/>
      <c r="R142" s="66"/>
      <c r="S142" s="66"/>
      <c r="T142" s="66"/>
    </row>
    <row r="143" spans="1:20" ht="15">
      <c r="A143" s="223">
        <v>139</v>
      </c>
      <c r="B143" s="372" t="s">
        <v>15</v>
      </c>
      <c r="C143" s="299">
        <v>40473</v>
      </c>
      <c r="D143" s="229" t="s">
        <v>118</v>
      </c>
      <c r="E143" s="301">
        <v>30</v>
      </c>
      <c r="F143" s="301">
        <v>1</v>
      </c>
      <c r="G143" s="301">
        <v>14</v>
      </c>
      <c r="H143" s="303">
        <v>1307</v>
      </c>
      <c r="I143" s="307">
        <v>327</v>
      </c>
      <c r="J143" s="308">
        <f t="shared" si="24"/>
        <v>327</v>
      </c>
      <c r="K143" s="310">
        <f t="shared" si="25"/>
        <v>3.996941896024465</v>
      </c>
      <c r="L143" s="313">
        <f>140269+106844+7979+4849+4700.5+7059+2232+1390+2769+13917+8357+891.5+4704+1307</f>
        <v>307268</v>
      </c>
      <c r="M143" s="314">
        <f>11518+8629+641+577+660+1341+325+348+324+2259+1374+332+506+327</f>
        <v>29161</v>
      </c>
      <c r="N143" s="373">
        <f t="shared" si="26"/>
        <v>10.536950036006996</v>
      </c>
      <c r="O143" s="414"/>
      <c r="P143" s="288"/>
      <c r="Q143" s="66"/>
      <c r="R143" s="66"/>
      <c r="S143" s="66"/>
      <c r="T143" s="66"/>
    </row>
    <row r="144" spans="1:20" ht="15">
      <c r="A144" s="223">
        <v>140</v>
      </c>
      <c r="B144" s="240" t="s">
        <v>15</v>
      </c>
      <c r="C144" s="257">
        <v>40473</v>
      </c>
      <c r="D144" s="229" t="s">
        <v>118</v>
      </c>
      <c r="E144" s="230">
        <v>30</v>
      </c>
      <c r="F144" s="230">
        <v>1</v>
      </c>
      <c r="G144" s="230">
        <v>15</v>
      </c>
      <c r="H144" s="191">
        <v>1076</v>
      </c>
      <c r="I144" s="177">
        <v>114</v>
      </c>
      <c r="J144" s="170">
        <f t="shared" si="24"/>
        <v>114</v>
      </c>
      <c r="K144" s="192">
        <f t="shared" si="25"/>
        <v>9.43859649122807</v>
      </c>
      <c r="L144" s="193">
        <f>140269+106844+7979+4849+4700.5+7059+2232+1390+2769+13917+8357+891.5+4704+1307+1076</f>
        <v>308344</v>
      </c>
      <c r="M144" s="169">
        <f>11518+8629+641+577+660+1341+325+348+324+2259+1374+332+506+327+114</f>
        <v>29275</v>
      </c>
      <c r="N144" s="210">
        <f t="shared" si="26"/>
        <v>10.53267292912041</v>
      </c>
      <c r="O144" s="399"/>
      <c r="P144" s="288"/>
      <c r="Q144" s="66"/>
      <c r="R144" s="66"/>
      <c r="S144" s="66"/>
      <c r="T144" s="66"/>
    </row>
    <row r="145" spans="1:20" ht="15">
      <c r="A145" s="223">
        <v>141</v>
      </c>
      <c r="B145" s="205" t="s">
        <v>15</v>
      </c>
      <c r="C145" s="164">
        <v>40473</v>
      </c>
      <c r="D145" s="229" t="s">
        <v>118</v>
      </c>
      <c r="E145" s="241">
        <v>30</v>
      </c>
      <c r="F145" s="241">
        <v>1</v>
      </c>
      <c r="G145" s="241">
        <v>12</v>
      </c>
      <c r="H145" s="191">
        <v>891.5</v>
      </c>
      <c r="I145" s="177">
        <v>332</v>
      </c>
      <c r="J145" s="170">
        <f t="shared" si="24"/>
        <v>332</v>
      </c>
      <c r="K145" s="192">
        <f t="shared" si="25"/>
        <v>2.6852409638554215</v>
      </c>
      <c r="L145" s="193">
        <f>140269+106844+7979+4849+4700.5+7059+2232+1390+2769+13917+8357+891.5</f>
        <v>301257</v>
      </c>
      <c r="M145" s="169">
        <f>11518+8629+641+577+660+1341+325+348+324+2259+1374+332</f>
        <v>28328</v>
      </c>
      <c r="N145" s="210">
        <f t="shared" si="26"/>
        <v>10.63460180739904</v>
      </c>
      <c r="O145" s="297"/>
      <c r="P145" s="288"/>
      <c r="Q145" s="66"/>
      <c r="R145" s="66"/>
      <c r="S145" s="66"/>
      <c r="T145" s="66"/>
    </row>
    <row r="146" spans="1:20" ht="15">
      <c r="A146" s="223">
        <v>142</v>
      </c>
      <c r="B146" s="384" t="s">
        <v>9</v>
      </c>
      <c r="C146" s="175">
        <v>40438</v>
      </c>
      <c r="D146" s="229" t="s">
        <v>118</v>
      </c>
      <c r="E146" s="247">
        <v>19</v>
      </c>
      <c r="F146" s="247">
        <v>1</v>
      </c>
      <c r="G146" s="247">
        <v>13</v>
      </c>
      <c r="H146" s="304">
        <v>1188</v>
      </c>
      <c r="I146" s="177">
        <v>297</v>
      </c>
      <c r="J146" s="170">
        <f t="shared" si="24"/>
        <v>297</v>
      </c>
      <c r="K146" s="311">
        <f t="shared" si="25"/>
        <v>4</v>
      </c>
      <c r="L146" s="184">
        <f>56752.5+38871+22868.5+4839+2786+2829.5+8012+670+1368+140+42+628+1188</f>
        <v>140994.5</v>
      </c>
      <c r="M146" s="169">
        <f>4639+3072+2103+531+316+368+936+83+203+20+6+98+297</f>
        <v>12672</v>
      </c>
      <c r="N146" s="185">
        <f t="shared" si="26"/>
        <v>11.12645991161616</v>
      </c>
      <c r="O146" s="268">
        <v>1</v>
      </c>
      <c r="P146" s="288"/>
      <c r="Q146" s="66"/>
      <c r="R146" s="66"/>
      <c r="S146" s="66"/>
      <c r="T146" s="66"/>
    </row>
    <row r="147" spans="1:20" ht="15">
      <c r="A147" s="223">
        <v>143</v>
      </c>
      <c r="B147" s="383" t="s">
        <v>9</v>
      </c>
      <c r="C147" s="175">
        <v>40438</v>
      </c>
      <c r="D147" s="242" t="s">
        <v>118</v>
      </c>
      <c r="E147" s="247">
        <v>19</v>
      </c>
      <c r="F147" s="247">
        <v>1</v>
      </c>
      <c r="G147" s="247">
        <v>14</v>
      </c>
      <c r="H147" s="191">
        <v>1425.5</v>
      </c>
      <c r="I147" s="177">
        <v>356</v>
      </c>
      <c r="J147" s="170">
        <f t="shared" si="24"/>
        <v>356</v>
      </c>
      <c r="K147" s="192">
        <f t="shared" si="25"/>
        <v>4.004213483146067</v>
      </c>
      <c r="L147" s="193">
        <f>56752.5+38871+22868.5+4839+2786+2829.5+8012+670+1368+140+42+628+1188+1425.5</f>
        <v>142420</v>
      </c>
      <c r="M147" s="169">
        <f>4639+3072+2103+531+316+368+936+83+203+20+6+98+297+356</f>
        <v>13028</v>
      </c>
      <c r="N147" s="210">
        <f t="shared" si="26"/>
        <v>10.931839115750691</v>
      </c>
      <c r="O147" s="541"/>
      <c r="P147" s="288"/>
      <c r="Q147" s="66"/>
      <c r="R147" s="66"/>
      <c r="S147" s="66"/>
      <c r="T147" s="66"/>
    </row>
    <row r="148" spans="1:20" ht="15">
      <c r="A148" s="223">
        <v>144</v>
      </c>
      <c r="B148" s="240" t="s">
        <v>157</v>
      </c>
      <c r="C148" s="257">
        <v>39871</v>
      </c>
      <c r="D148" s="229" t="s">
        <v>118</v>
      </c>
      <c r="E148" s="230">
        <v>1</v>
      </c>
      <c r="F148" s="230">
        <v>1</v>
      </c>
      <c r="G148" s="230">
        <v>24</v>
      </c>
      <c r="H148" s="191">
        <v>952</v>
      </c>
      <c r="I148" s="177">
        <v>238</v>
      </c>
      <c r="J148" s="170">
        <f t="shared" si="24"/>
        <v>238</v>
      </c>
      <c r="K148" s="192">
        <f t="shared" si="25"/>
        <v>4</v>
      </c>
      <c r="L148" s="193">
        <f>1088+1510+1304+856+387+214+424+106+162+130+476+60.5+118+96+1664+1780+454+259.5+1188+119.5+1188+1780+1780+1780+952</f>
        <v>19876.5</v>
      </c>
      <c r="M148" s="169">
        <f>267+175+155+102+46+26+51+12+18+16+57+8+22+16+416+445+57+31+297+19+297+445+445+445+238</f>
        <v>4106</v>
      </c>
      <c r="N148" s="210">
        <f t="shared" si="26"/>
        <v>4.840842669264491</v>
      </c>
      <c r="O148" s="399"/>
      <c r="P148" s="288"/>
      <c r="Q148" s="66"/>
      <c r="R148" s="66"/>
      <c r="S148" s="66"/>
      <c r="T148" s="66"/>
    </row>
    <row r="149" spans="1:20" ht="15">
      <c r="A149" s="223">
        <v>145</v>
      </c>
      <c r="B149" s="374" t="s">
        <v>58</v>
      </c>
      <c r="C149" s="161">
        <v>40529</v>
      </c>
      <c r="D149" s="317" t="s">
        <v>24</v>
      </c>
      <c r="E149" s="243">
        <v>72</v>
      </c>
      <c r="F149" s="243">
        <v>71</v>
      </c>
      <c r="G149" s="243">
        <v>3</v>
      </c>
      <c r="H149" s="318">
        <v>165182</v>
      </c>
      <c r="I149" s="176">
        <v>14707</v>
      </c>
      <c r="J149" s="163">
        <f aca="true" t="shared" si="27" ref="J149:J154">I149/F149</f>
        <v>207.14084507042253</v>
      </c>
      <c r="K149" s="312">
        <f>+H149/I149</f>
        <v>11.231522404297273</v>
      </c>
      <c r="L149" s="320">
        <v>909930</v>
      </c>
      <c r="M149" s="162">
        <v>83118</v>
      </c>
      <c r="N149" s="375">
        <f aca="true" t="shared" si="28" ref="N149:N155">+L149/M149</f>
        <v>10.94744820616473</v>
      </c>
      <c r="O149" s="296">
        <v>1</v>
      </c>
      <c r="P149" s="288"/>
      <c r="Q149" s="66"/>
      <c r="R149" s="66"/>
      <c r="S149" s="66"/>
      <c r="T149" s="66"/>
    </row>
    <row r="150" spans="1:20" ht="15">
      <c r="A150" s="223">
        <v>146</v>
      </c>
      <c r="B150" s="211" t="s">
        <v>58</v>
      </c>
      <c r="C150" s="161">
        <v>40529</v>
      </c>
      <c r="D150" s="232" t="s">
        <v>24</v>
      </c>
      <c r="E150" s="231">
        <v>72</v>
      </c>
      <c r="F150" s="231">
        <v>3</v>
      </c>
      <c r="G150" s="231">
        <v>5</v>
      </c>
      <c r="H150" s="188">
        <v>3407</v>
      </c>
      <c r="I150" s="176">
        <v>461</v>
      </c>
      <c r="J150" s="163">
        <f t="shared" si="27"/>
        <v>153.66666666666666</v>
      </c>
      <c r="K150" s="189">
        <f>H150/I150</f>
        <v>7.390455531453362</v>
      </c>
      <c r="L150" s="190">
        <v>915738</v>
      </c>
      <c r="M150" s="162">
        <v>84149</v>
      </c>
      <c r="N150" s="208">
        <f t="shared" si="28"/>
        <v>10.88233965941366</v>
      </c>
      <c r="O150" s="399"/>
      <c r="P150" s="288"/>
      <c r="Q150" s="66"/>
      <c r="R150" s="66"/>
      <c r="S150" s="66"/>
      <c r="T150" s="66"/>
    </row>
    <row r="151" spans="1:20" ht="15">
      <c r="A151" s="223">
        <v>147</v>
      </c>
      <c r="B151" s="207" t="s">
        <v>58</v>
      </c>
      <c r="C151" s="161">
        <v>40529</v>
      </c>
      <c r="D151" s="317" t="s">
        <v>24</v>
      </c>
      <c r="E151" s="243">
        <v>72</v>
      </c>
      <c r="F151" s="243">
        <v>2</v>
      </c>
      <c r="G151" s="243">
        <v>4</v>
      </c>
      <c r="H151" s="188">
        <v>2401</v>
      </c>
      <c r="I151" s="176">
        <v>570</v>
      </c>
      <c r="J151" s="163">
        <f t="shared" si="27"/>
        <v>285</v>
      </c>
      <c r="K151" s="189">
        <f>H151/I151</f>
        <v>4.212280701754386</v>
      </c>
      <c r="L151" s="190">
        <v>912331</v>
      </c>
      <c r="M151" s="162">
        <v>83688</v>
      </c>
      <c r="N151" s="208">
        <f t="shared" si="28"/>
        <v>10.901574897237358</v>
      </c>
      <c r="O151" s="296"/>
      <c r="P151" s="288"/>
      <c r="Q151" s="66"/>
      <c r="R151" s="66"/>
      <c r="S151" s="66"/>
      <c r="T151" s="66"/>
    </row>
    <row r="152" spans="1:20" ht="15">
      <c r="A152" s="223">
        <v>148</v>
      </c>
      <c r="B152" s="207" t="s">
        <v>58</v>
      </c>
      <c r="C152" s="161">
        <v>40529</v>
      </c>
      <c r="D152" s="244" t="s">
        <v>24</v>
      </c>
      <c r="E152" s="243">
        <v>72</v>
      </c>
      <c r="F152" s="243">
        <v>4</v>
      </c>
      <c r="G152" s="243">
        <v>7</v>
      </c>
      <c r="H152" s="188">
        <v>2361</v>
      </c>
      <c r="I152" s="176">
        <v>403</v>
      </c>
      <c r="J152" s="163">
        <f t="shared" si="27"/>
        <v>100.75</v>
      </c>
      <c r="K152" s="189">
        <f>H152/I152</f>
        <v>5.858560794044665</v>
      </c>
      <c r="L152" s="190">
        <v>919279</v>
      </c>
      <c r="M152" s="162">
        <v>84735</v>
      </c>
      <c r="N152" s="208">
        <f t="shared" si="28"/>
        <v>10.848870006490824</v>
      </c>
      <c r="O152" s="414"/>
      <c r="P152" s="288"/>
      <c r="Q152" s="66"/>
      <c r="R152" s="66"/>
      <c r="S152" s="66"/>
      <c r="T152" s="66"/>
    </row>
    <row r="153" spans="1:20" ht="15">
      <c r="A153" s="223">
        <v>149</v>
      </c>
      <c r="B153" s="374" t="s">
        <v>58</v>
      </c>
      <c r="C153" s="161">
        <v>40529</v>
      </c>
      <c r="D153" s="244" t="s">
        <v>24</v>
      </c>
      <c r="E153" s="243">
        <v>72</v>
      </c>
      <c r="F153" s="243">
        <v>2</v>
      </c>
      <c r="G153" s="243">
        <v>6</v>
      </c>
      <c r="H153" s="188">
        <v>1181</v>
      </c>
      <c r="I153" s="176">
        <v>183</v>
      </c>
      <c r="J153" s="163">
        <f t="shared" si="27"/>
        <v>91.5</v>
      </c>
      <c r="K153" s="189">
        <f>H153/I153</f>
        <v>6.453551912568306</v>
      </c>
      <c r="L153" s="190">
        <v>916919</v>
      </c>
      <c r="M153" s="162">
        <v>84332</v>
      </c>
      <c r="N153" s="208">
        <f t="shared" si="28"/>
        <v>10.87272921311009</v>
      </c>
      <c r="O153" s="268"/>
      <c r="P153" s="288"/>
      <c r="Q153" s="66"/>
      <c r="R153" s="66"/>
      <c r="S153" s="66"/>
      <c r="T153" s="66"/>
    </row>
    <row r="154" spans="1:20" ht="15">
      <c r="A154" s="223">
        <v>150</v>
      </c>
      <c r="B154" s="211" t="s">
        <v>58</v>
      </c>
      <c r="C154" s="321">
        <v>40529</v>
      </c>
      <c r="D154" s="232" t="s">
        <v>24</v>
      </c>
      <c r="E154" s="231">
        <v>72</v>
      </c>
      <c r="F154" s="231">
        <v>1</v>
      </c>
      <c r="G154" s="231">
        <v>8</v>
      </c>
      <c r="H154" s="188">
        <v>500</v>
      </c>
      <c r="I154" s="176">
        <v>70</v>
      </c>
      <c r="J154" s="163">
        <f t="shared" si="27"/>
        <v>70</v>
      </c>
      <c r="K154" s="189">
        <f>H154/I154</f>
        <v>7.142857142857143</v>
      </c>
      <c r="L154" s="190">
        <v>919779</v>
      </c>
      <c r="M154" s="162">
        <v>84805</v>
      </c>
      <c r="N154" s="208">
        <f t="shared" si="28"/>
        <v>10.84581097812629</v>
      </c>
      <c r="O154" s="399"/>
      <c r="P154" s="288"/>
      <c r="Q154" s="66"/>
      <c r="R154" s="66"/>
      <c r="S154" s="66"/>
      <c r="T154" s="66"/>
    </row>
    <row r="155" spans="1:20" ht="15">
      <c r="A155" s="223">
        <v>151</v>
      </c>
      <c r="B155" s="386" t="s">
        <v>109</v>
      </c>
      <c r="C155" s="350">
        <v>40480</v>
      </c>
      <c r="D155" s="242" t="s">
        <v>103</v>
      </c>
      <c r="E155" s="351">
        <v>15</v>
      </c>
      <c r="F155" s="351">
        <v>1</v>
      </c>
      <c r="G155" s="351">
        <v>9</v>
      </c>
      <c r="H155" s="234">
        <v>2135</v>
      </c>
      <c r="I155" s="235">
        <v>427</v>
      </c>
      <c r="J155" s="251">
        <v>427</v>
      </c>
      <c r="K155" s="252">
        <v>5</v>
      </c>
      <c r="L155" s="237">
        <v>60143</v>
      </c>
      <c r="M155" s="236">
        <v>6696</v>
      </c>
      <c r="N155" s="208">
        <f t="shared" si="28"/>
        <v>8.981929510155316</v>
      </c>
      <c r="O155" s="268"/>
      <c r="P155" s="288"/>
      <c r="Q155" s="66"/>
      <c r="R155" s="66"/>
      <c r="S155" s="66"/>
      <c r="T155" s="66"/>
    </row>
    <row r="156" spans="1:20" ht="15">
      <c r="A156" s="223">
        <v>152</v>
      </c>
      <c r="B156" s="387" t="s">
        <v>109</v>
      </c>
      <c r="C156" s="406">
        <v>40480</v>
      </c>
      <c r="D156" s="229" t="s">
        <v>103</v>
      </c>
      <c r="E156" s="353">
        <v>15</v>
      </c>
      <c r="F156" s="353">
        <v>1</v>
      </c>
      <c r="G156" s="230">
        <v>10</v>
      </c>
      <c r="H156" s="234">
        <v>1898</v>
      </c>
      <c r="I156" s="235">
        <v>380</v>
      </c>
      <c r="J156" s="251">
        <v>380</v>
      </c>
      <c r="K156" s="405">
        <v>4.994736842105263</v>
      </c>
      <c r="L156" s="237">
        <v>62041</v>
      </c>
      <c r="M156" s="236">
        <v>7076</v>
      </c>
      <c r="N156" s="410">
        <v>8.767806670435274</v>
      </c>
      <c r="O156" s="399"/>
      <c r="P156" s="288"/>
      <c r="Q156" s="66"/>
      <c r="R156" s="66"/>
      <c r="S156" s="66"/>
      <c r="T156" s="66"/>
    </row>
    <row r="157" spans="1:20" ht="15">
      <c r="A157" s="223">
        <v>153</v>
      </c>
      <c r="B157" s="387" t="s">
        <v>109</v>
      </c>
      <c r="C157" s="350">
        <v>40480</v>
      </c>
      <c r="D157" s="352" t="s">
        <v>103</v>
      </c>
      <c r="E157" s="353">
        <v>15</v>
      </c>
      <c r="F157" s="353">
        <v>1</v>
      </c>
      <c r="G157" s="353">
        <v>7</v>
      </c>
      <c r="H157" s="234">
        <v>1779</v>
      </c>
      <c r="I157" s="235">
        <v>356</v>
      </c>
      <c r="J157" s="236">
        <v>356</v>
      </c>
      <c r="K157" s="354">
        <v>4.997191011235955</v>
      </c>
      <c r="L157" s="237">
        <v>57513</v>
      </c>
      <c r="M157" s="236">
        <v>6199</v>
      </c>
      <c r="N157" s="388">
        <v>9.277786739796742</v>
      </c>
      <c r="O157" s="399"/>
      <c r="P157" s="288"/>
      <c r="Q157" s="66"/>
      <c r="R157" s="66"/>
      <c r="S157" s="66"/>
      <c r="T157" s="66"/>
    </row>
    <row r="158" spans="1:20" ht="15">
      <c r="A158" s="223">
        <v>154</v>
      </c>
      <c r="B158" s="389" t="s">
        <v>109</v>
      </c>
      <c r="C158" s="350">
        <v>40480</v>
      </c>
      <c r="D158" s="349" t="s">
        <v>121</v>
      </c>
      <c r="E158" s="351">
        <v>15</v>
      </c>
      <c r="F158" s="351">
        <v>1</v>
      </c>
      <c r="G158" s="351">
        <v>8</v>
      </c>
      <c r="H158" s="234">
        <v>495</v>
      </c>
      <c r="I158" s="235">
        <v>70</v>
      </c>
      <c r="J158" s="170">
        <f>(I158/F158)</f>
        <v>70</v>
      </c>
      <c r="K158" s="192">
        <f>H158/I158</f>
        <v>7.071428571428571</v>
      </c>
      <c r="L158" s="237">
        <v>58008</v>
      </c>
      <c r="M158" s="236">
        <v>6269</v>
      </c>
      <c r="N158" s="210">
        <f>L158/M158</f>
        <v>9.253150422714947</v>
      </c>
      <c r="O158" s="268"/>
      <c r="P158" s="288"/>
      <c r="Q158" s="66"/>
      <c r="R158" s="66"/>
      <c r="S158" s="66"/>
      <c r="T158" s="66"/>
    </row>
    <row r="159" spans="1:20" ht="15">
      <c r="A159" s="223">
        <v>155</v>
      </c>
      <c r="B159" s="377" t="s">
        <v>72</v>
      </c>
      <c r="C159" s="164">
        <v>40536</v>
      </c>
      <c r="D159" s="300" t="s">
        <v>23</v>
      </c>
      <c r="E159" s="241">
        <v>91</v>
      </c>
      <c r="F159" s="241">
        <v>92</v>
      </c>
      <c r="G159" s="241">
        <v>2</v>
      </c>
      <c r="H159" s="305">
        <v>390086</v>
      </c>
      <c r="I159" s="178">
        <v>33581</v>
      </c>
      <c r="J159" s="165">
        <f aca="true" t="shared" si="29" ref="J159:J166">I159/F159</f>
        <v>365.0108695652174</v>
      </c>
      <c r="K159" s="312">
        <f aca="true" t="shared" si="30" ref="K159:K166">+H159/I159</f>
        <v>11.616271105684762</v>
      </c>
      <c r="L159" s="253">
        <v>972705</v>
      </c>
      <c r="M159" s="166">
        <v>84601</v>
      </c>
      <c r="N159" s="254">
        <f aca="true" t="shared" si="31" ref="N159:N166">+L159/M159</f>
        <v>11.497559130506732</v>
      </c>
      <c r="O159" s="268"/>
      <c r="P159" s="288"/>
      <c r="Q159" s="66"/>
      <c r="R159" s="66"/>
      <c r="S159" s="66"/>
      <c r="T159" s="66"/>
    </row>
    <row r="160" spans="1:20" ht="15">
      <c r="A160" s="223">
        <v>156</v>
      </c>
      <c r="B160" s="209" t="s">
        <v>72</v>
      </c>
      <c r="C160" s="164">
        <v>40536</v>
      </c>
      <c r="D160" s="300" t="s">
        <v>23</v>
      </c>
      <c r="E160" s="241">
        <v>91</v>
      </c>
      <c r="F160" s="241">
        <v>90</v>
      </c>
      <c r="G160" s="241">
        <v>3</v>
      </c>
      <c r="H160" s="186">
        <v>191201</v>
      </c>
      <c r="I160" s="178">
        <v>16807</v>
      </c>
      <c r="J160" s="165">
        <f t="shared" si="29"/>
        <v>186.74444444444444</v>
      </c>
      <c r="K160" s="200">
        <f t="shared" si="30"/>
        <v>11.37627179151544</v>
      </c>
      <c r="L160" s="187">
        <v>1163906</v>
      </c>
      <c r="M160" s="166">
        <v>101408</v>
      </c>
      <c r="N160" s="206">
        <f t="shared" si="31"/>
        <v>11.477457399810666</v>
      </c>
      <c r="O160" s="426"/>
      <c r="P160" s="288"/>
      <c r="Q160" s="66"/>
      <c r="R160" s="66"/>
      <c r="S160" s="66"/>
      <c r="T160" s="66"/>
    </row>
    <row r="161" spans="1:20" ht="15">
      <c r="A161" s="223">
        <v>157</v>
      </c>
      <c r="B161" s="238" t="s">
        <v>72</v>
      </c>
      <c r="C161" s="224">
        <v>40536</v>
      </c>
      <c r="D161" s="225" t="s">
        <v>23</v>
      </c>
      <c r="E161" s="226">
        <v>91</v>
      </c>
      <c r="F161" s="226">
        <v>22</v>
      </c>
      <c r="G161" s="226">
        <v>4</v>
      </c>
      <c r="H161" s="302">
        <v>28672</v>
      </c>
      <c r="I161" s="306">
        <v>2679</v>
      </c>
      <c r="J161" s="228">
        <f t="shared" si="29"/>
        <v>121.77272727272727</v>
      </c>
      <c r="K161" s="309">
        <f t="shared" si="30"/>
        <v>10.702500933184023</v>
      </c>
      <c r="L161" s="227">
        <v>1192578</v>
      </c>
      <c r="M161" s="228">
        <v>104087</v>
      </c>
      <c r="N161" s="239">
        <f t="shared" si="31"/>
        <v>11.45751150479887</v>
      </c>
      <c r="O161" s="417"/>
      <c r="P161" s="288"/>
      <c r="Q161" s="66"/>
      <c r="R161" s="66"/>
      <c r="S161" s="66"/>
      <c r="T161" s="66"/>
    </row>
    <row r="162" spans="1:20" ht="15">
      <c r="A162" s="223">
        <v>158</v>
      </c>
      <c r="B162" s="377" t="s">
        <v>72</v>
      </c>
      <c r="C162" s="164">
        <v>40536</v>
      </c>
      <c r="D162" s="290" t="s">
        <v>23</v>
      </c>
      <c r="E162" s="241">
        <v>91</v>
      </c>
      <c r="F162" s="241">
        <v>6</v>
      </c>
      <c r="G162" s="241">
        <v>5</v>
      </c>
      <c r="H162" s="186">
        <v>2455</v>
      </c>
      <c r="I162" s="178">
        <v>339</v>
      </c>
      <c r="J162" s="165">
        <f t="shared" si="29"/>
        <v>56.5</v>
      </c>
      <c r="K162" s="200">
        <f t="shared" si="30"/>
        <v>7.241887905604719</v>
      </c>
      <c r="L162" s="187">
        <v>1195033</v>
      </c>
      <c r="M162" s="166">
        <v>104426</v>
      </c>
      <c r="N162" s="206">
        <f t="shared" si="31"/>
        <v>11.443826250167582</v>
      </c>
      <c r="O162" s="426"/>
      <c r="P162" s="288"/>
      <c r="Q162" s="66"/>
      <c r="R162" s="66"/>
      <c r="S162" s="66"/>
      <c r="T162" s="66"/>
    </row>
    <row r="163" spans="1:20" ht="15">
      <c r="A163" s="223">
        <v>159</v>
      </c>
      <c r="B163" s="240" t="s">
        <v>72</v>
      </c>
      <c r="C163" s="257">
        <v>40536</v>
      </c>
      <c r="D163" s="229" t="s">
        <v>23</v>
      </c>
      <c r="E163" s="230">
        <v>91</v>
      </c>
      <c r="F163" s="230">
        <v>3</v>
      </c>
      <c r="G163" s="230">
        <v>10</v>
      </c>
      <c r="H163" s="305">
        <v>1793</v>
      </c>
      <c r="I163" s="355">
        <v>426</v>
      </c>
      <c r="J163" s="265">
        <f t="shared" si="29"/>
        <v>142</v>
      </c>
      <c r="K163" s="312">
        <f t="shared" si="30"/>
        <v>4.208920187793427</v>
      </c>
      <c r="L163" s="253">
        <v>1199776</v>
      </c>
      <c r="M163" s="265">
        <v>105815</v>
      </c>
      <c r="N163" s="254">
        <f t="shared" si="31"/>
        <v>11.338430279260974</v>
      </c>
      <c r="O163" s="399"/>
      <c r="P163" s="288"/>
      <c r="Q163" s="66"/>
      <c r="R163" s="66"/>
      <c r="S163" s="66"/>
      <c r="T163" s="66"/>
    </row>
    <row r="164" spans="1:20" ht="15">
      <c r="A164" s="223">
        <v>160</v>
      </c>
      <c r="B164" s="240" t="s">
        <v>72</v>
      </c>
      <c r="C164" s="257">
        <v>40536</v>
      </c>
      <c r="D164" s="229" t="s">
        <v>23</v>
      </c>
      <c r="E164" s="230">
        <v>91</v>
      </c>
      <c r="F164" s="230">
        <v>1</v>
      </c>
      <c r="G164" s="230">
        <v>9</v>
      </c>
      <c r="H164" s="186">
        <v>1546</v>
      </c>
      <c r="I164" s="178">
        <v>759</v>
      </c>
      <c r="J164" s="165">
        <f t="shared" si="29"/>
        <v>759</v>
      </c>
      <c r="K164" s="200">
        <f t="shared" si="30"/>
        <v>2.036890645586298</v>
      </c>
      <c r="L164" s="187">
        <v>1197983</v>
      </c>
      <c r="M164" s="166">
        <v>105389</v>
      </c>
      <c r="N164" s="206">
        <f t="shared" si="31"/>
        <v>11.367248953875642</v>
      </c>
      <c r="O164" s="399"/>
      <c r="P164" s="288"/>
      <c r="Q164" s="66"/>
      <c r="R164" s="66"/>
      <c r="S164" s="66"/>
      <c r="T164" s="66"/>
    </row>
    <row r="165" spans="1:20" ht="15">
      <c r="A165" s="223">
        <v>161</v>
      </c>
      <c r="B165" s="209" t="s">
        <v>72</v>
      </c>
      <c r="C165" s="164">
        <v>40536</v>
      </c>
      <c r="D165" s="290" t="s">
        <v>23</v>
      </c>
      <c r="E165" s="241">
        <v>91</v>
      </c>
      <c r="F165" s="241">
        <v>1</v>
      </c>
      <c r="G165" s="241">
        <v>6</v>
      </c>
      <c r="H165" s="186">
        <v>901</v>
      </c>
      <c r="I165" s="178">
        <v>123</v>
      </c>
      <c r="J165" s="165">
        <f t="shared" si="29"/>
        <v>123</v>
      </c>
      <c r="K165" s="200">
        <f t="shared" si="30"/>
        <v>7.32520325203252</v>
      </c>
      <c r="L165" s="187">
        <v>1195880</v>
      </c>
      <c r="M165" s="166">
        <v>104549</v>
      </c>
      <c r="N165" s="208">
        <f t="shared" si="31"/>
        <v>11.438464260777243</v>
      </c>
      <c r="O165" s="268"/>
      <c r="P165" s="288"/>
      <c r="Q165" s="66"/>
      <c r="R165" s="66"/>
      <c r="S165" s="66"/>
      <c r="T165" s="66"/>
    </row>
    <row r="166" spans="1:20" ht="15">
      <c r="A166" s="223">
        <v>162</v>
      </c>
      <c r="B166" s="238" t="s">
        <v>72</v>
      </c>
      <c r="C166" s="224">
        <v>40536</v>
      </c>
      <c r="D166" s="225" t="s">
        <v>23</v>
      </c>
      <c r="E166" s="226">
        <v>91</v>
      </c>
      <c r="F166" s="226">
        <v>1</v>
      </c>
      <c r="G166" s="226">
        <v>8</v>
      </c>
      <c r="H166" s="302">
        <v>557</v>
      </c>
      <c r="I166" s="306">
        <v>81</v>
      </c>
      <c r="J166" s="228">
        <f t="shared" si="29"/>
        <v>81</v>
      </c>
      <c r="K166" s="309">
        <f t="shared" si="30"/>
        <v>6.8765432098765435</v>
      </c>
      <c r="L166" s="227">
        <v>1196437</v>
      </c>
      <c r="M166" s="228">
        <v>104630</v>
      </c>
      <c r="N166" s="239">
        <f t="shared" si="31"/>
        <v>11.43493261970754</v>
      </c>
      <c r="O166" s="414"/>
      <c r="P166" s="288"/>
      <c r="Q166" s="66"/>
      <c r="R166" s="66"/>
      <c r="S166" s="66"/>
      <c r="T166" s="66"/>
    </row>
    <row r="167" spans="1:20" ht="15">
      <c r="A167" s="223">
        <v>163</v>
      </c>
      <c r="B167" s="389" t="s">
        <v>122</v>
      </c>
      <c r="C167" s="350">
        <v>40193</v>
      </c>
      <c r="D167" s="229" t="s">
        <v>118</v>
      </c>
      <c r="E167" s="351">
        <v>55</v>
      </c>
      <c r="F167" s="351">
        <v>1</v>
      </c>
      <c r="G167" s="351">
        <v>29</v>
      </c>
      <c r="H167" s="191">
        <v>1782</v>
      </c>
      <c r="I167" s="177">
        <v>445</v>
      </c>
      <c r="J167" s="170">
        <f>(I167/F167)</f>
        <v>445</v>
      </c>
      <c r="K167" s="192">
        <f>H167/I167</f>
        <v>4.004494382022472</v>
      </c>
      <c r="L167" s="193">
        <f>197266+158498+94472.5+25746.5+5341+4975+4175+3550+3868+6158+8020+1277+951+3397+4599+198+566+1146+2247.5+174+31.5+2775.5+1188+735+2376+307+324+2613.5+1782</f>
        <v>538758</v>
      </c>
      <c r="M167" s="169">
        <f>19567+17056+12441+3194+866+909+697+693+818+1478+1988+298+238+832+1154+55+212+207+411+57+12+610+297+71+594+46+71+653+445</f>
        <v>65970</v>
      </c>
      <c r="N167" s="210">
        <f>L167/M167</f>
        <v>8.166712141882673</v>
      </c>
      <c r="O167" s="268"/>
      <c r="P167" s="288"/>
      <c r="Q167" s="66"/>
      <c r="R167" s="66"/>
      <c r="S167" s="66"/>
      <c r="T167" s="66"/>
    </row>
    <row r="168" spans="1:20" ht="15">
      <c r="A168" s="223">
        <v>164</v>
      </c>
      <c r="B168" s="390" t="s">
        <v>122</v>
      </c>
      <c r="C168" s="291">
        <v>40193</v>
      </c>
      <c r="D168" s="229" t="s">
        <v>118</v>
      </c>
      <c r="E168" s="292">
        <v>55</v>
      </c>
      <c r="F168" s="292">
        <v>1</v>
      </c>
      <c r="G168" s="292">
        <v>30</v>
      </c>
      <c r="H168" s="191">
        <v>1782</v>
      </c>
      <c r="I168" s="177">
        <v>445</v>
      </c>
      <c r="J168" s="170">
        <f>(I168/F168)</f>
        <v>445</v>
      </c>
      <c r="K168" s="192">
        <f>H168/I168</f>
        <v>4.004494382022472</v>
      </c>
      <c r="L168" s="193">
        <f>197266+158498+94472.5+25746.5+5341+4975+4175+3550+3868+6158+8020+1277+951+3397+4599+198+566+1146+2247.5+174+31.5+2775.5+1188+735+2376+307+324+2613.5+1782+1782</f>
        <v>540540</v>
      </c>
      <c r="M168" s="169">
        <f>19567+17056+12441+3194+866+909+697+693+818+1478+1988+298+238+832+1154+55+212+207+411+57+12+610+297+71+594+46+71+653+445+445</f>
        <v>66415</v>
      </c>
      <c r="N168" s="210">
        <f>L168/M168</f>
        <v>8.138824060829633</v>
      </c>
      <c r="O168" s="414"/>
      <c r="P168" s="288"/>
      <c r="Q168" s="66"/>
      <c r="R168" s="66"/>
      <c r="S168" s="66"/>
      <c r="T168" s="66"/>
    </row>
    <row r="169" spans="1:20" ht="15">
      <c r="A169" s="223">
        <v>165</v>
      </c>
      <c r="B169" s="295" t="s">
        <v>122</v>
      </c>
      <c r="C169" s="291">
        <v>40193</v>
      </c>
      <c r="D169" s="242" t="s">
        <v>118</v>
      </c>
      <c r="E169" s="292">
        <v>55</v>
      </c>
      <c r="F169" s="292">
        <v>1</v>
      </c>
      <c r="G169" s="292">
        <v>31</v>
      </c>
      <c r="H169" s="191">
        <v>1782</v>
      </c>
      <c r="I169" s="177">
        <v>445</v>
      </c>
      <c r="J169" s="170">
        <f>(I169/F169)</f>
        <v>445</v>
      </c>
      <c r="K169" s="192">
        <f>H169/I169</f>
        <v>4.004494382022472</v>
      </c>
      <c r="L169" s="193">
        <f>197266+158498+94472.5+25746.5+5341+4975+4175+3550+3868+6158+8020+1277+951+3397+4599+198+566+1146+2247.5+174+31.5+2775.5+1188+735+2376+307+324+2613.5+1782+1782+1782</f>
        <v>542322</v>
      </c>
      <c r="M169" s="169">
        <f>19567+17056+12441+3194+866+909+697+693+818+1478+1988+298+238+832+1154+55+212+207+411+57+12+610+297+71+594+46+71+653+445+445+445</f>
        <v>66860</v>
      </c>
      <c r="N169" s="210">
        <f>L169/M169</f>
        <v>8.111307209093628</v>
      </c>
      <c r="O169" s="297"/>
      <c r="P169" s="288"/>
      <c r="Q169" s="66"/>
      <c r="R169" s="66"/>
      <c r="S169" s="66"/>
      <c r="T169" s="66"/>
    </row>
    <row r="170" spans="1:20" ht="15">
      <c r="A170" s="223">
        <v>166</v>
      </c>
      <c r="B170" s="371" t="s">
        <v>125</v>
      </c>
      <c r="C170" s="164">
        <v>40312</v>
      </c>
      <c r="D170" s="229" t="s">
        <v>118</v>
      </c>
      <c r="E170" s="241">
        <v>8</v>
      </c>
      <c r="F170" s="241">
        <v>1</v>
      </c>
      <c r="G170" s="241">
        <v>18</v>
      </c>
      <c r="H170" s="191">
        <v>1188</v>
      </c>
      <c r="I170" s="177">
        <v>297</v>
      </c>
      <c r="J170" s="170">
        <f>(I170/F170)</f>
        <v>297</v>
      </c>
      <c r="K170" s="192">
        <f>H170/I170</f>
        <v>4</v>
      </c>
      <c r="L170" s="193">
        <f>41764.5+663+13.5+1901+220.5+1188</f>
        <v>45750.5</v>
      </c>
      <c r="M170" s="169">
        <f>4847+89+1+475+63+297</f>
        <v>5772</v>
      </c>
      <c r="N170" s="210">
        <f>L170/M170</f>
        <v>7.926282051282051</v>
      </c>
      <c r="O170" s="268"/>
      <c r="P170" s="288"/>
      <c r="Q170" s="66"/>
      <c r="R170" s="66"/>
      <c r="S170" s="66"/>
      <c r="T170" s="66"/>
    </row>
    <row r="171" spans="1:20" ht="15">
      <c r="A171" s="223">
        <v>167</v>
      </c>
      <c r="B171" s="377" t="s">
        <v>61</v>
      </c>
      <c r="C171" s="164">
        <v>40515</v>
      </c>
      <c r="D171" s="300" t="s">
        <v>23</v>
      </c>
      <c r="E171" s="241">
        <v>122</v>
      </c>
      <c r="F171" s="241">
        <v>7</v>
      </c>
      <c r="G171" s="241">
        <v>4</v>
      </c>
      <c r="H171" s="305">
        <v>4679</v>
      </c>
      <c r="I171" s="178">
        <v>723</v>
      </c>
      <c r="J171" s="165">
        <f>I171/F171</f>
        <v>103.28571428571429</v>
      </c>
      <c r="K171" s="312">
        <f>+H171/I171</f>
        <v>6.4716459197787</v>
      </c>
      <c r="L171" s="253">
        <v>611175</v>
      </c>
      <c r="M171" s="166">
        <v>72305</v>
      </c>
      <c r="N171" s="254">
        <f>+L171/M171</f>
        <v>8.452734942258488</v>
      </c>
      <c r="O171" s="296">
        <v>1</v>
      </c>
      <c r="P171" s="288"/>
      <c r="Q171" s="66"/>
      <c r="R171" s="66"/>
      <c r="S171" s="66"/>
      <c r="T171" s="66"/>
    </row>
    <row r="172" spans="1:20" ht="15">
      <c r="A172" s="223">
        <v>168</v>
      </c>
      <c r="B172" s="209" t="s">
        <v>178</v>
      </c>
      <c r="C172" s="164">
        <v>40515</v>
      </c>
      <c r="D172" s="290" t="s">
        <v>23</v>
      </c>
      <c r="E172" s="241">
        <v>122</v>
      </c>
      <c r="F172" s="241">
        <v>1</v>
      </c>
      <c r="G172" s="241">
        <v>13</v>
      </c>
      <c r="H172" s="186">
        <v>519</v>
      </c>
      <c r="I172" s="178">
        <v>74</v>
      </c>
      <c r="J172" s="165">
        <f>I172/F172</f>
        <v>74</v>
      </c>
      <c r="K172" s="200">
        <f>+H172/I172</f>
        <v>7.013513513513513</v>
      </c>
      <c r="L172" s="187">
        <v>613786</v>
      </c>
      <c r="M172" s="166">
        <v>73223</v>
      </c>
      <c r="N172" s="206">
        <f>+L172/M172</f>
        <v>8.382420824058014</v>
      </c>
      <c r="O172" s="426">
        <v>1</v>
      </c>
      <c r="P172" s="288"/>
      <c r="Q172" s="66"/>
      <c r="R172" s="66"/>
      <c r="S172" s="66"/>
      <c r="T172" s="66"/>
    </row>
    <row r="173" spans="1:20" ht="15">
      <c r="A173" s="223">
        <v>169</v>
      </c>
      <c r="B173" s="209" t="s">
        <v>61</v>
      </c>
      <c r="C173" s="164">
        <v>40515</v>
      </c>
      <c r="D173" s="300" t="s">
        <v>23</v>
      </c>
      <c r="E173" s="241">
        <v>122</v>
      </c>
      <c r="F173" s="241">
        <v>2</v>
      </c>
      <c r="G173" s="241">
        <v>5</v>
      </c>
      <c r="H173" s="186">
        <v>474</v>
      </c>
      <c r="I173" s="178">
        <v>70</v>
      </c>
      <c r="J173" s="165">
        <f>I173/F173</f>
        <v>35</v>
      </c>
      <c r="K173" s="200">
        <f>+H173/I173</f>
        <v>6.771428571428571</v>
      </c>
      <c r="L173" s="187">
        <v>611649</v>
      </c>
      <c r="M173" s="166">
        <v>72375</v>
      </c>
      <c r="N173" s="206">
        <f>+L173/M173</f>
        <v>8.451108808290156</v>
      </c>
      <c r="O173" s="426">
        <v>1</v>
      </c>
      <c r="P173" s="288"/>
      <c r="Q173" s="66"/>
      <c r="R173" s="66"/>
      <c r="S173" s="66"/>
      <c r="T173" s="66"/>
    </row>
    <row r="174" spans="1:20" ht="15">
      <c r="A174" s="223">
        <v>170</v>
      </c>
      <c r="B174" s="283" t="s">
        <v>61</v>
      </c>
      <c r="C174" s="269">
        <v>40515</v>
      </c>
      <c r="D174" s="270" t="s">
        <v>23</v>
      </c>
      <c r="E174" s="271">
        <v>122</v>
      </c>
      <c r="F174" s="271">
        <v>1</v>
      </c>
      <c r="G174" s="271">
        <v>14</v>
      </c>
      <c r="H174" s="272">
        <v>147</v>
      </c>
      <c r="I174" s="273">
        <v>21</v>
      </c>
      <c r="J174" s="274">
        <f>I174/F174</f>
        <v>21</v>
      </c>
      <c r="K174" s="275">
        <f>+H174/I174</f>
        <v>7</v>
      </c>
      <c r="L174" s="276">
        <v>613933</v>
      </c>
      <c r="M174" s="277">
        <v>73244</v>
      </c>
      <c r="N174" s="284">
        <f>+L174/M174</f>
        <v>8.382024466167877</v>
      </c>
      <c r="O174" s="268">
        <v>1</v>
      </c>
      <c r="P174" s="288"/>
      <c r="Q174" s="66"/>
      <c r="R174" s="66"/>
      <c r="S174" s="66"/>
      <c r="T174" s="66"/>
    </row>
    <row r="175" spans="1:20" ht="15">
      <c r="A175" s="223">
        <v>171</v>
      </c>
      <c r="B175" s="372" t="s">
        <v>111</v>
      </c>
      <c r="C175" s="299">
        <v>40389</v>
      </c>
      <c r="D175" s="229" t="s">
        <v>118</v>
      </c>
      <c r="E175" s="301">
        <v>19</v>
      </c>
      <c r="F175" s="301">
        <v>1</v>
      </c>
      <c r="G175" s="301">
        <v>13</v>
      </c>
      <c r="H175" s="303">
        <v>1307</v>
      </c>
      <c r="I175" s="307">
        <v>327</v>
      </c>
      <c r="J175" s="308">
        <f>(I175/F175)</f>
        <v>327</v>
      </c>
      <c r="K175" s="310">
        <f>H175/I175</f>
        <v>3.996941896024465</v>
      </c>
      <c r="L175" s="313">
        <f>69032+15425.5+9802+4755.5+7049.5+3610.5+8536+6024.5+2322+245+405.5+1307</f>
        <v>128515</v>
      </c>
      <c r="M175" s="314">
        <f>5509+1589+1417+704+842+602+1038+829+323+37+46+327</f>
        <v>13263</v>
      </c>
      <c r="N175" s="373">
        <f>L175/M175</f>
        <v>9.68973836990123</v>
      </c>
      <c r="O175" s="416"/>
      <c r="P175" s="288"/>
      <c r="Q175" s="66"/>
      <c r="R175" s="66"/>
      <c r="S175" s="66"/>
      <c r="T175" s="66"/>
    </row>
    <row r="176" spans="1:20" ht="15">
      <c r="A176" s="223">
        <v>172</v>
      </c>
      <c r="B176" s="379" t="s">
        <v>11</v>
      </c>
      <c r="C176" s="161">
        <v>40459</v>
      </c>
      <c r="D176" s="346" t="s">
        <v>27</v>
      </c>
      <c r="E176" s="231">
        <v>50</v>
      </c>
      <c r="F176" s="231">
        <v>5</v>
      </c>
      <c r="G176" s="231">
        <v>13</v>
      </c>
      <c r="H176" s="347">
        <v>4218</v>
      </c>
      <c r="I176" s="180">
        <v>597</v>
      </c>
      <c r="J176" s="168">
        <f>+I176/F176</f>
        <v>119.4</v>
      </c>
      <c r="K176" s="326">
        <f>+H176/I176</f>
        <v>7.065326633165829</v>
      </c>
      <c r="L176" s="348">
        <v>377106</v>
      </c>
      <c r="M176" s="167">
        <v>34343</v>
      </c>
      <c r="N176" s="376">
        <f>+L176/M176</f>
        <v>10.980578283784178</v>
      </c>
      <c r="O176" s="268"/>
      <c r="P176" s="288"/>
      <c r="Q176" s="66"/>
      <c r="R176" s="66"/>
      <c r="S176" s="66"/>
      <c r="T176" s="66"/>
    </row>
    <row r="177" spans="1:20" ht="15">
      <c r="A177" s="223">
        <v>173</v>
      </c>
      <c r="B177" s="211" t="s">
        <v>11</v>
      </c>
      <c r="C177" s="161">
        <v>40459</v>
      </c>
      <c r="D177" s="346" t="s">
        <v>27</v>
      </c>
      <c r="E177" s="231">
        <v>50</v>
      </c>
      <c r="F177" s="231">
        <v>1</v>
      </c>
      <c r="G177" s="231">
        <v>14</v>
      </c>
      <c r="H177" s="194">
        <v>62</v>
      </c>
      <c r="I177" s="180">
        <v>10</v>
      </c>
      <c r="J177" s="168">
        <f>+I177/F177</f>
        <v>10</v>
      </c>
      <c r="K177" s="195">
        <f>+H177/I177</f>
        <v>6.2</v>
      </c>
      <c r="L177" s="196">
        <v>377168</v>
      </c>
      <c r="M177" s="167">
        <v>34353</v>
      </c>
      <c r="N177" s="212">
        <f>+L177/M177</f>
        <v>10.979186679474864</v>
      </c>
      <c r="O177" s="296"/>
      <c r="P177" s="288"/>
      <c r="Q177" s="66"/>
      <c r="R177" s="66"/>
      <c r="S177" s="66"/>
      <c r="T177" s="66"/>
    </row>
    <row r="178" spans="1:20" ht="15">
      <c r="A178" s="223">
        <v>174</v>
      </c>
      <c r="B178" s="371" t="s">
        <v>80</v>
      </c>
      <c r="C178" s="164">
        <v>40480</v>
      </c>
      <c r="D178" s="298" t="s">
        <v>26</v>
      </c>
      <c r="E178" s="241">
        <v>135</v>
      </c>
      <c r="F178" s="241">
        <v>5</v>
      </c>
      <c r="G178" s="241">
        <v>10</v>
      </c>
      <c r="H178" s="305">
        <v>604</v>
      </c>
      <c r="I178" s="178">
        <v>91</v>
      </c>
      <c r="J178" s="168">
        <f>IF(H178&lt;&gt;0,I178/F178,"")</f>
        <v>18.2</v>
      </c>
      <c r="K178" s="326">
        <f>IF(H178&lt;&gt;0,H178/I178,"")</f>
        <v>6.637362637362638</v>
      </c>
      <c r="L178" s="253">
        <f>151771.5+44278.5+20156+4831.5+5960.5+2697+3743.5+81+2518+2320+604</f>
        <v>238961.5</v>
      </c>
      <c r="M178" s="165">
        <f>19003+7410+3277+795+995+475+746+11+433+386+91</f>
        <v>33622</v>
      </c>
      <c r="N178" s="376">
        <f>IF(L178&lt;&gt;0,L178/M178,"")</f>
        <v>7.107295818214264</v>
      </c>
      <c r="O178" s="296">
        <v>1</v>
      </c>
      <c r="P178" s="288"/>
      <c r="Q178" s="66"/>
      <c r="R178" s="66"/>
      <c r="S178" s="66"/>
      <c r="T178" s="66"/>
    </row>
    <row r="179" spans="1:20" ht="15">
      <c r="A179" s="223">
        <v>175</v>
      </c>
      <c r="B179" s="205" t="s">
        <v>80</v>
      </c>
      <c r="C179" s="164">
        <v>40480</v>
      </c>
      <c r="D179" s="298" t="s">
        <v>26</v>
      </c>
      <c r="E179" s="241">
        <v>135</v>
      </c>
      <c r="F179" s="241">
        <v>1</v>
      </c>
      <c r="G179" s="241">
        <v>11</v>
      </c>
      <c r="H179" s="186">
        <v>265</v>
      </c>
      <c r="I179" s="178">
        <v>52</v>
      </c>
      <c r="J179" s="165">
        <f>I179/F179</f>
        <v>52</v>
      </c>
      <c r="K179" s="200">
        <f>H179/I179</f>
        <v>5.096153846153846</v>
      </c>
      <c r="L179" s="187">
        <f>151771.5+44278.5+20156+4831.5+5960.5+2697+3743.5+81+2518+2320+604+265</f>
        <v>239226.5</v>
      </c>
      <c r="M179" s="165">
        <f>19003+7410+3277+795+995+475+746+11+433+386+91+52</f>
        <v>33674</v>
      </c>
      <c r="N179" s="206">
        <f>L179/M179</f>
        <v>7.10419017639722</v>
      </c>
      <c r="O179" s="296">
        <v>1</v>
      </c>
      <c r="P179" s="288"/>
      <c r="Q179" s="66"/>
      <c r="R179" s="66"/>
      <c r="S179" s="66"/>
      <c r="T179" s="66"/>
    </row>
    <row r="180" spans="1:20" ht="15">
      <c r="A180" s="223">
        <v>176</v>
      </c>
      <c r="B180" s="379" t="s">
        <v>75</v>
      </c>
      <c r="C180" s="161">
        <v>40487</v>
      </c>
      <c r="D180" s="346" t="s">
        <v>27</v>
      </c>
      <c r="E180" s="231">
        <v>312</v>
      </c>
      <c r="F180" s="231">
        <v>86</v>
      </c>
      <c r="G180" s="231">
        <v>9</v>
      </c>
      <c r="H180" s="347">
        <v>125458</v>
      </c>
      <c r="I180" s="180">
        <v>15869</v>
      </c>
      <c r="J180" s="168">
        <f>+I180/F180</f>
        <v>184.52325581395348</v>
      </c>
      <c r="K180" s="326">
        <f>+H180/I180</f>
        <v>7.90585418110782</v>
      </c>
      <c r="L180" s="348">
        <v>31622053</v>
      </c>
      <c r="M180" s="167">
        <v>3470958</v>
      </c>
      <c r="N180" s="376">
        <f>+L180/M180</f>
        <v>9.110468349084028</v>
      </c>
      <c r="O180" s="296">
        <v>1</v>
      </c>
      <c r="P180" s="288"/>
      <c r="Q180" s="66"/>
      <c r="R180" s="66"/>
      <c r="S180" s="66"/>
      <c r="T180" s="66"/>
    </row>
    <row r="181" spans="1:20" ht="15">
      <c r="A181" s="223">
        <v>177</v>
      </c>
      <c r="B181" s="211" t="s">
        <v>91</v>
      </c>
      <c r="C181" s="161">
        <v>40487</v>
      </c>
      <c r="D181" s="346" t="s">
        <v>27</v>
      </c>
      <c r="E181" s="231">
        <v>312</v>
      </c>
      <c r="F181" s="231">
        <v>19</v>
      </c>
      <c r="G181" s="231">
        <v>10</v>
      </c>
      <c r="H181" s="194">
        <v>12589</v>
      </c>
      <c r="I181" s="180">
        <v>1965</v>
      </c>
      <c r="J181" s="168">
        <f>+I181/F181</f>
        <v>103.42105263157895</v>
      </c>
      <c r="K181" s="195">
        <f>+H181/I181</f>
        <v>6.406615776081425</v>
      </c>
      <c r="L181" s="196">
        <v>31634642</v>
      </c>
      <c r="M181" s="167">
        <v>3472923</v>
      </c>
      <c r="N181" s="212">
        <f>+L181/M181</f>
        <v>9.108938493597469</v>
      </c>
      <c r="O181" s="296">
        <v>1</v>
      </c>
      <c r="P181" s="288"/>
      <c r="Q181" s="66"/>
      <c r="R181" s="66"/>
      <c r="S181" s="66"/>
      <c r="T181" s="66"/>
    </row>
    <row r="182" spans="1:20" ht="15">
      <c r="A182" s="223">
        <v>178</v>
      </c>
      <c r="B182" s="211" t="s">
        <v>91</v>
      </c>
      <c r="C182" s="161">
        <v>40487</v>
      </c>
      <c r="D182" s="232" t="s">
        <v>27</v>
      </c>
      <c r="E182" s="231">
        <v>312</v>
      </c>
      <c r="F182" s="231">
        <v>12</v>
      </c>
      <c r="G182" s="231">
        <v>11</v>
      </c>
      <c r="H182" s="194">
        <v>5621</v>
      </c>
      <c r="I182" s="180">
        <v>841</v>
      </c>
      <c r="J182" s="168">
        <f>+I182/F182</f>
        <v>70.08333333333333</v>
      </c>
      <c r="K182" s="195">
        <f>+H182/I182</f>
        <v>6.683709869203329</v>
      </c>
      <c r="L182" s="196">
        <v>31640263</v>
      </c>
      <c r="M182" s="167">
        <v>3473764</v>
      </c>
      <c r="N182" s="212">
        <f>+L182/M182</f>
        <v>9.108351344535784</v>
      </c>
      <c r="O182" s="399">
        <v>1</v>
      </c>
      <c r="P182" s="288"/>
      <c r="Q182" s="66"/>
      <c r="R182" s="66"/>
      <c r="S182" s="66"/>
      <c r="T182" s="66"/>
    </row>
    <row r="183" spans="1:20" ht="15">
      <c r="A183" s="223">
        <v>179</v>
      </c>
      <c r="B183" s="379" t="s">
        <v>75</v>
      </c>
      <c r="C183" s="161">
        <v>40487</v>
      </c>
      <c r="D183" s="245" t="s">
        <v>27</v>
      </c>
      <c r="E183" s="231">
        <v>312</v>
      </c>
      <c r="F183" s="231">
        <v>7</v>
      </c>
      <c r="G183" s="231">
        <v>12</v>
      </c>
      <c r="H183" s="194">
        <v>4990</v>
      </c>
      <c r="I183" s="180">
        <v>695</v>
      </c>
      <c r="J183" s="170">
        <f>(I183/F183)</f>
        <v>99.28571428571429</v>
      </c>
      <c r="K183" s="192">
        <f>H183/I183</f>
        <v>7.179856115107913</v>
      </c>
      <c r="L183" s="196">
        <v>31645253</v>
      </c>
      <c r="M183" s="167">
        <v>3474459</v>
      </c>
      <c r="N183" s="210">
        <f>L183/M183</f>
        <v>9.107965585433588</v>
      </c>
      <c r="O183" s="268">
        <v>1</v>
      </c>
      <c r="P183" s="288"/>
      <c r="Q183" s="66"/>
      <c r="R183" s="66"/>
      <c r="S183" s="66"/>
      <c r="T183" s="66"/>
    </row>
    <row r="184" spans="1:20" ht="15">
      <c r="A184" s="223">
        <v>180</v>
      </c>
      <c r="B184" s="213" t="s">
        <v>272</v>
      </c>
      <c r="C184" s="164">
        <v>39941</v>
      </c>
      <c r="D184" s="242" t="s">
        <v>118</v>
      </c>
      <c r="E184" s="241">
        <v>26</v>
      </c>
      <c r="F184" s="241">
        <v>1</v>
      </c>
      <c r="G184" s="241">
        <v>26</v>
      </c>
      <c r="H184" s="191">
        <v>2376</v>
      </c>
      <c r="I184" s="177">
        <v>594</v>
      </c>
      <c r="J184" s="170">
        <f>(I184/F184)</f>
        <v>594</v>
      </c>
      <c r="K184" s="192">
        <f>H184/I184</f>
        <v>4</v>
      </c>
      <c r="L184" s="193">
        <f>36482.75+16583.5+5922.75+3249+4769+4925+4199.5+5525+366+924+414+2215+2444+33+1987+838+1440+537+604+3792+2376+1780+3800+2376+310.7+381.86+2376</f>
        <v>110651.06</v>
      </c>
      <c r="M184" s="169">
        <f>4495+1934+744+517+1003+1215+722+968+65+193+83+369+384+5+336+159+238+83+151+948+594+445+950+594+72+92+594</f>
        <v>17953</v>
      </c>
      <c r="N184" s="210">
        <f>L184/M184</f>
        <v>6.163374366401158</v>
      </c>
      <c r="O184" s="541">
        <v>1</v>
      </c>
      <c r="P184" s="288"/>
      <c r="Q184" s="66"/>
      <c r="R184" s="66"/>
      <c r="S184" s="66"/>
      <c r="T184" s="66"/>
    </row>
    <row r="185" spans="1:20" ht="15">
      <c r="A185" s="223">
        <v>181</v>
      </c>
      <c r="B185" s="240" t="s">
        <v>167</v>
      </c>
      <c r="C185" s="257">
        <v>40473</v>
      </c>
      <c r="D185" s="229" t="s">
        <v>26</v>
      </c>
      <c r="E185" s="233">
        <v>36</v>
      </c>
      <c r="F185" s="230">
        <v>1</v>
      </c>
      <c r="G185" s="233">
        <v>9</v>
      </c>
      <c r="H185" s="305">
        <v>926</v>
      </c>
      <c r="I185" s="355">
        <v>136</v>
      </c>
      <c r="J185" s="345">
        <f>+I185/F185</f>
        <v>136</v>
      </c>
      <c r="K185" s="326">
        <f>+H185/I185</f>
        <v>6.8088235294117645</v>
      </c>
      <c r="L185" s="253">
        <f>34961.5+23009.5+1351+805+533+530+156+172+926</f>
        <v>62444</v>
      </c>
      <c r="M185" s="265">
        <f>4408+3132+214+122+62+78+26+27+136</f>
        <v>8205</v>
      </c>
      <c r="N185" s="376">
        <f>+L185/M185</f>
        <v>7.61048141377209</v>
      </c>
      <c r="O185" s="399">
        <v>1</v>
      </c>
      <c r="P185" s="288"/>
      <c r="Q185" s="66"/>
      <c r="R185" s="66"/>
      <c r="S185" s="66"/>
      <c r="T185" s="66"/>
    </row>
    <row r="186" spans="1:20" ht="15">
      <c r="A186" s="223">
        <v>182</v>
      </c>
      <c r="B186" s="371" t="s">
        <v>82</v>
      </c>
      <c r="C186" s="164">
        <v>40473</v>
      </c>
      <c r="D186" s="298" t="s">
        <v>26</v>
      </c>
      <c r="E186" s="241">
        <v>36</v>
      </c>
      <c r="F186" s="241">
        <v>1</v>
      </c>
      <c r="G186" s="241">
        <v>8</v>
      </c>
      <c r="H186" s="305">
        <v>172</v>
      </c>
      <c r="I186" s="178">
        <v>27</v>
      </c>
      <c r="J186" s="168">
        <f>IF(H186&lt;&gt;0,I186/F186,"")</f>
        <v>27</v>
      </c>
      <c r="K186" s="326">
        <f>IF(H186&lt;&gt;0,H186/I186,"")</f>
        <v>6.37037037037037</v>
      </c>
      <c r="L186" s="253">
        <f>34961.5+23009.5+1351+805+533+530+156+172</f>
        <v>61518</v>
      </c>
      <c r="M186" s="165">
        <f>4408+3132+214+122+62+78+26+27</f>
        <v>8069</v>
      </c>
      <c r="N186" s="376">
        <f>IF(L186&lt;&gt;0,L186/M186,"")</f>
        <v>7.6239930598587184</v>
      </c>
      <c r="O186" s="268"/>
      <c r="P186" s="288"/>
      <c r="Q186" s="66"/>
      <c r="R186" s="66"/>
      <c r="S186" s="66"/>
      <c r="T186" s="66"/>
    </row>
    <row r="187" spans="1:20" ht="15">
      <c r="A187" s="223">
        <v>183</v>
      </c>
      <c r="B187" s="205" t="s">
        <v>176</v>
      </c>
      <c r="C187" s="164">
        <v>40102</v>
      </c>
      <c r="D187" s="242" t="s">
        <v>118</v>
      </c>
      <c r="E187" s="241">
        <v>9</v>
      </c>
      <c r="F187" s="241">
        <v>1</v>
      </c>
      <c r="G187" s="241">
        <v>11</v>
      </c>
      <c r="H187" s="191">
        <v>1500</v>
      </c>
      <c r="I187" s="177">
        <v>150</v>
      </c>
      <c r="J187" s="170">
        <f aca="true" t="shared" si="32" ref="J187:J201">(I187/F187)</f>
        <v>150</v>
      </c>
      <c r="K187" s="192">
        <f aca="true" t="shared" si="33" ref="K187:K201">H187/I187</f>
        <v>10</v>
      </c>
      <c r="L187" s="193">
        <f>140093+133065.5+53545.5+8843.5+1143.5+938+558+224+456+4065+1500</f>
        <v>344432</v>
      </c>
      <c r="M187" s="169">
        <f>10984+10700+4415+806+91+134+57+28+33+335+150</f>
        <v>27733</v>
      </c>
      <c r="N187" s="210">
        <f aca="true" t="shared" si="34" ref="N187:N201">L187/M187</f>
        <v>12.419572350629215</v>
      </c>
      <c r="O187" s="296"/>
      <c r="P187" s="288"/>
      <c r="Q187" s="66"/>
      <c r="R187" s="66"/>
      <c r="S187" s="66"/>
      <c r="T187" s="66"/>
    </row>
    <row r="188" spans="1:20" ht="15">
      <c r="A188" s="223">
        <v>184</v>
      </c>
      <c r="B188" s="205" t="s">
        <v>176</v>
      </c>
      <c r="C188" s="164">
        <v>40102</v>
      </c>
      <c r="D188" s="242" t="s">
        <v>118</v>
      </c>
      <c r="E188" s="241">
        <v>9</v>
      </c>
      <c r="F188" s="241">
        <v>1</v>
      </c>
      <c r="G188" s="241">
        <v>12</v>
      </c>
      <c r="H188" s="191">
        <v>670</v>
      </c>
      <c r="I188" s="177">
        <v>67</v>
      </c>
      <c r="J188" s="170">
        <f t="shared" si="32"/>
        <v>67</v>
      </c>
      <c r="K188" s="192">
        <f t="shared" si="33"/>
        <v>10</v>
      </c>
      <c r="L188" s="193">
        <f>140093+133065.5+53545.5+8843.5+1143.5+938+558+224+456+4065+1500+670</f>
        <v>345102</v>
      </c>
      <c r="M188" s="169">
        <f>10984+10700+4415+806+91+134+57+28+33+335+150+67</f>
        <v>27800</v>
      </c>
      <c r="N188" s="210">
        <f t="shared" si="34"/>
        <v>12.413741007194245</v>
      </c>
      <c r="O188" s="268"/>
      <c r="P188" s="288"/>
      <c r="Q188" s="66"/>
      <c r="R188" s="66"/>
      <c r="S188" s="66"/>
      <c r="T188" s="66"/>
    </row>
    <row r="189" spans="1:20" ht="15">
      <c r="A189" s="223">
        <v>185</v>
      </c>
      <c r="B189" s="371" t="s">
        <v>19</v>
      </c>
      <c r="C189" s="164">
        <v>40515</v>
      </c>
      <c r="D189" s="229" t="s">
        <v>118</v>
      </c>
      <c r="E189" s="241">
        <v>62</v>
      </c>
      <c r="F189" s="241">
        <v>62</v>
      </c>
      <c r="G189" s="241">
        <v>5</v>
      </c>
      <c r="H189" s="304">
        <v>47812</v>
      </c>
      <c r="I189" s="177">
        <v>7581</v>
      </c>
      <c r="J189" s="170">
        <f t="shared" si="32"/>
        <v>122.2741935483871</v>
      </c>
      <c r="K189" s="311">
        <f t="shared" si="33"/>
        <v>6.3068196807809</v>
      </c>
      <c r="L189" s="184">
        <f>353151+191248+132731.5+71376+47812</f>
        <v>796318.5</v>
      </c>
      <c r="M189" s="169">
        <f>34650+19352+14525+10591+7581</f>
        <v>86699</v>
      </c>
      <c r="N189" s="185">
        <f t="shared" si="34"/>
        <v>9.184863723918385</v>
      </c>
      <c r="O189" s="268">
        <v>1</v>
      </c>
      <c r="P189" s="288"/>
      <c r="Q189" s="66"/>
      <c r="R189" s="66"/>
      <c r="S189" s="66"/>
      <c r="T189" s="66"/>
    </row>
    <row r="190" spans="1:20" ht="15">
      <c r="A190" s="223">
        <v>186</v>
      </c>
      <c r="B190" s="240" t="s">
        <v>19</v>
      </c>
      <c r="C190" s="164">
        <v>40515</v>
      </c>
      <c r="D190" s="229" t="s">
        <v>118</v>
      </c>
      <c r="E190" s="230">
        <v>62</v>
      </c>
      <c r="F190" s="230">
        <v>28</v>
      </c>
      <c r="G190" s="230">
        <v>10</v>
      </c>
      <c r="H190" s="191">
        <v>42312</v>
      </c>
      <c r="I190" s="177">
        <v>6589</v>
      </c>
      <c r="J190" s="170">
        <f t="shared" si="32"/>
        <v>235.32142857142858</v>
      </c>
      <c r="K190" s="192">
        <f t="shared" si="33"/>
        <v>6.421611777204432</v>
      </c>
      <c r="L190" s="193">
        <f>353151+191248+132731.5+71376+47862+26248.5+19265+34650.5+35095.5+42312</f>
        <v>953940</v>
      </c>
      <c r="M190" s="169">
        <f>34650+19352+14525+10591+7581+5012+3223+6065+6865+6589</f>
        <v>114453</v>
      </c>
      <c r="N190" s="210">
        <f t="shared" si="34"/>
        <v>8.334774973133076</v>
      </c>
      <c r="O190" s="415"/>
      <c r="P190" s="288"/>
      <c r="Q190" s="66"/>
      <c r="R190" s="66"/>
      <c r="S190" s="66"/>
      <c r="T190" s="66"/>
    </row>
    <row r="191" spans="1:20" ht="15">
      <c r="A191" s="223">
        <v>187</v>
      </c>
      <c r="B191" s="205" t="s">
        <v>19</v>
      </c>
      <c r="C191" s="164">
        <v>40515</v>
      </c>
      <c r="D191" s="229" t="s">
        <v>118</v>
      </c>
      <c r="E191" s="241">
        <v>62</v>
      </c>
      <c r="F191" s="241">
        <v>37</v>
      </c>
      <c r="G191" s="241">
        <v>9</v>
      </c>
      <c r="H191" s="191">
        <v>35095.5</v>
      </c>
      <c r="I191" s="177">
        <v>6865</v>
      </c>
      <c r="J191" s="170">
        <f t="shared" si="32"/>
        <v>185.54054054054055</v>
      </c>
      <c r="K191" s="192">
        <f t="shared" si="33"/>
        <v>5.112235979606701</v>
      </c>
      <c r="L191" s="193">
        <f>353151+191248+132731.5+71376+47862+26248.5+19265+34650.5+35095.5</f>
        <v>911628</v>
      </c>
      <c r="M191" s="169">
        <f>34650+19352+14525+10591+7581+5012+3223+6065+6865</f>
        <v>107864</v>
      </c>
      <c r="N191" s="210">
        <f t="shared" si="34"/>
        <v>8.451642809463769</v>
      </c>
      <c r="O191" s="268"/>
      <c r="P191" s="288"/>
      <c r="Q191" s="66"/>
      <c r="R191" s="66"/>
      <c r="S191" s="66"/>
      <c r="T191" s="66"/>
    </row>
    <row r="192" spans="1:20" ht="15">
      <c r="A192" s="223">
        <v>188</v>
      </c>
      <c r="B192" s="371" t="s">
        <v>19</v>
      </c>
      <c r="C192" s="164">
        <v>40515</v>
      </c>
      <c r="D192" s="229" t="s">
        <v>118</v>
      </c>
      <c r="E192" s="241">
        <v>62</v>
      </c>
      <c r="F192" s="241">
        <v>36</v>
      </c>
      <c r="G192" s="241">
        <v>8</v>
      </c>
      <c r="H192" s="191">
        <v>34650.5</v>
      </c>
      <c r="I192" s="177">
        <v>6065</v>
      </c>
      <c r="J192" s="170">
        <f t="shared" si="32"/>
        <v>168.47222222222223</v>
      </c>
      <c r="K192" s="192">
        <f t="shared" si="33"/>
        <v>5.713190436933224</v>
      </c>
      <c r="L192" s="193">
        <f>353151+191248+132731.5+71376+47862+26248.5+19265+34650.5</f>
        <v>876532.5</v>
      </c>
      <c r="M192" s="169">
        <f>34650+19352+14525+10591+7581+5012+3223+6065</f>
        <v>100999</v>
      </c>
      <c r="N192" s="210">
        <f t="shared" si="34"/>
        <v>8.678625530945851</v>
      </c>
      <c r="O192" s="268"/>
      <c r="P192" s="288"/>
      <c r="Q192" s="66"/>
      <c r="R192" s="66"/>
      <c r="S192" s="66"/>
      <c r="T192" s="66"/>
    </row>
    <row r="193" spans="1:20" ht="15">
      <c r="A193" s="223">
        <v>189</v>
      </c>
      <c r="B193" s="205" t="s">
        <v>19</v>
      </c>
      <c r="C193" s="164">
        <v>40515</v>
      </c>
      <c r="D193" s="229" t="s">
        <v>118</v>
      </c>
      <c r="E193" s="241">
        <v>62</v>
      </c>
      <c r="F193" s="241">
        <v>42</v>
      </c>
      <c r="G193" s="241">
        <v>6</v>
      </c>
      <c r="H193" s="191">
        <v>26248.5</v>
      </c>
      <c r="I193" s="177">
        <v>5012</v>
      </c>
      <c r="J193" s="170">
        <f t="shared" si="32"/>
        <v>119.33333333333333</v>
      </c>
      <c r="K193" s="192">
        <f t="shared" si="33"/>
        <v>5.237130885873903</v>
      </c>
      <c r="L193" s="193">
        <f>353151+191248+132731.5+71376+47862+26248.5</f>
        <v>822617</v>
      </c>
      <c r="M193" s="169">
        <f>34650+19352+14525+10591+7581+5012</f>
        <v>91711</v>
      </c>
      <c r="N193" s="210">
        <f t="shared" si="34"/>
        <v>8.96966557991953</v>
      </c>
      <c r="O193" s="297"/>
      <c r="P193" s="288"/>
      <c r="Q193" s="66"/>
      <c r="R193" s="66"/>
      <c r="S193" s="66"/>
      <c r="T193" s="66"/>
    </row>
    <row r="194" spans="1:20" ht="15">
      <c r="A194" s="223">
        <v>190</v>
      </c>
      <c r="B194" s="372" t="s">
        <v>19</v>
      </c>
      <c r="C194" s="299">
        <v>40515</v>
      </c>
      <c r="D194" s="229" t="s">
        <v>118</v>
      </c>
      <c r="E194" s="301">
        <v>62</v>
      </c>
      <c r="F194" s="301">
        <v>26</v>
      </c>
      <c r="G194" s="301">
        <v>11</v>
      </c>
      <c r="H194" s="303">
        <v>25849</v>
      </c>
      <c r="I194" s="307">
        <v>3930</v>
      </c>
      <c r="J194" s="308">
        <f t="shared" si="32"/>
        <v>151.15384615384616</v>
      </c>
      <c r="K194" s="310">
        <f t="shared" si="33"/>
        <v>6.57735368956743</v>
      </c>
      <c r="L194" s="313">
        <f>353151+191248+132731.5+71376+47862+26248.5+19265+34650.5+35095.5+42312+25849</f>
        <v>979789</v>
      </c>
      <c r="M194" s="314">
        <f>34650+19352+14525+10591+7581+5012+3223+6065+6865+6589+3930</f>
        <v>118383</v>
      </c>
      <c r="N194" s="373">
        <f t="shared" si="34"/>
        <v>8.276433271669074</v>
      </c>
      <c r="O194" s="414"/>
      <c r="P194" s="288"/>
      <c r="Q194" s="66"/>
      <c r="R194" s="66"/>
      <c r="S194" s="66"/>
      <c r="T194" s="66"/>
    </row>
    <row r="195" spans="1:20" ht="15">
      <c r="A195" s="223">
        <v>191</v>
      </c>
      <c r="B195" s="372" t="s">
        <v>19</v>
      </c>
      <c r="C195" s="299">
        <v>40515</v>
      </c>
      <c r="D195" s="229" t="s">
        <v>118</v>
      </c>
      <c r="E195" s="301">
        <v>62</v>
      </c>
      <c r="F195" s="301">
        <v>37</v>
      </c>
      <c r="G195" s="301">
        <v>7</v>
      </c>
      <c r="H195" s="303">
        <v>19265</v>
      </c>
      <c r="I195" s="307">
        <v>3223</v>
      </c>
      <c r="J195" s="308">
        <f t="shared" si="32"/>
        <v>87.10810810810811</v>
      </c>
      <c r="K195" s="310">
        <f t="shared" si="33"/>
        <v>5.977350294756438</v>
      </c>
      <c r="L195" s="313">
        <f>353151+191248+132731.5+71376+47862+26248.5+19265</f>
        <v>841882</v>
      </c>
      <c r="M195" s="314">
        <f>34650+19352+14525+10591+7581+5012+3223</f>
        <v>94934</v>
      </c>
      <c r="N195" s="373">
        <f t="shared" si="34"/>
        <v>8.868076769123812</v>
      </c>
      <c r="O195" s="416"/>
      <c r="P195" s="288"/>
      <c r="Q195" s="66"/>
      <c r="R195" s="66"/>
      <c r="S195" s="66"/>
      <c r="T195" s="66"/>
    </row>
    <row r="196" spans="1:20" ht="15">
      <c r="A196" s="223">
        <v>192</v>
      </c>
      <c r="B196" s="240" t="s">
        <v>19</v>
      </c>
      <c r="C196" s="257">
        <v>40515</v>
      </c>
      <c r="D196" s="229" t="s">
        <v>118</v>
      </c>
      <c r="E196" s="230">
        <v>62</v>
      </c>
      <c r="F196" s="230">
        <v>17</v>
      </c>
      <c r="G196" s="230">
        <v>12</v>
      </c>
      <c r="H196" s="191">
        <v>10987</v>
      </c>
      <c r="I196" s="177">
        <v>1782</v>
      </c>
      <c r="J196" s="170">
        <f t="shared" si="32"/>
        <v>104.82352941176471</v>
      </c>
      <c r="K196" s="192">
        <f t="shared" si="33"/>
        <v>6.165544332210999</v>
      </c>
      <c r="L196" s="193">
        <f>353151+191248+132731.5+71376+47862+26248.5+19265+34650.5+35095.5+42312+25849+10987</f>
        <v>990776</v>
      </c>
      <c r="M196" s="169">
        <f>34650+19352+14525+10591+7581+5012+3223+6065+6865+6589+3930+1782</f>
        <v>120165</v>
      </c>
      <c r="N196" s="210">
        <f t="shared" si="34"/>
        <v>8.245129613448176</v>
      </c>
      <c r="O196" s="399"/>
      <c r="P196" s="288"/>
      <c r="Q196" s="66"/>
      <c r="R196" s="66"/>
      <c r="S196" s="66"/>
      <c r="T196" s="66"/>
    </row>
    <row r="197" spans="1:20" ht="15">
      <c r="A197" s="223">
        <v>193</v>
      </c>
      <c r="B197" s="240" t="s">
        <v>19</v>
      </c>
      <c r="C197" s="257">
        <v>40515</v>
      </c>
      <c r="D197" s="229" t="s">
        <v>118</v>
      </c>
      <c r="E197" s="230">
        <v>62</v>
      </c>
      <c r="F197" s="230">
        <v>14</v>
      </c>
      <c r="G197" s="230">
        <v>13</v>
      </c>
      <c r="H197" s="304">
        <v>7528</v>
      </c>
      <c r="I197" s="315">
        <v>1091</v>
      </c>
      <c r="J197" s="316">
        <f t="shared" si="32"/>
        <v>77.92857142857143</v>
      </c>
      <c r="K197" s="311">
        <f t="shared" si="33"/>
        <v>6.900091659028415</v>
      </c>
      <c r="L197" s="184">
        <f>353151+191248+132731.5+71376+47862+26248.5+19265+34650.5+35095.5+42312+25849+10987+7528</f>
        <v>998304</v>
      </c>
      <c r="M197" s="266">
        <f>34650+19352+14525+10591+7581+5012+3223+6065+6865+6589+3930+1782+1091</f>
        <v>121256</v>
      </c>
      <c r="N197" s="185">
        <f t="shared" si="34"/>
        <v>8.233027643992875</v>
      </c>
      <c r="O197" s="399"/>
      <c r="P197" s="288"/>
      <c r="Q197" s="66"/>
      <c r="R197" s="66"/>
      <c r="S197" s="66"/>
      <c r="T197" s="66"/>
    </row>
    <row r="198" spans="1:20" ht="15">
      <c r="A198" s="223">
        <v>194</v>
      </c>
      <c r="B198" s="372" t="s">
        <v>19</v>
      </c>
      <c r="C198" s="299">
        <v>40515</v>
      </c>
      <c r="D198" s="421" t="s">
        <v>118</v>
      </c>
      <c r="E198" s="301">
        <v>62</v>
      </c>
      <c r="F198" s="301">
        <v>8</v>
      </c>
      <c r="G198" s="301">
        <v>18</v>
      </c>
      <c r="H198" s="303">
        <v>4280</v>
      </c>
      <c r="I198" s="307">
        <v>987</v>
      </c>
      <c r="J198" s="308">
        <f t="shared" si="32"/>
        <v>123.375</v>
      </c>
      <c r="K198" s="310">
        <f t="shared" si="33"/>
        <v>4.336372847011145</v>
      </c>
      <c r="L198" s="313">
        <f>353151+191248+132731.5+71376+47862+26248.5+19265+34650.5+35095.5+42312+25849+10987+7528+3248+2395.5+3280.5+3141.5+4280</f>
        <v>1014649.5</v>
      </c>
      <c r="M198" s="314">
        <f>34650+19352+14525+10591+7581+5012+3223+6065+6865+6589+3930+1782+1091+624+468+512+688+987</f>
        <v>124535</v>
      </c>
      <c r="N198" s="373">
        <f t="shared" si="34"/>
        <v>8.147504717549284</v>
      </c>
      <c r="O198" s="422"/>
      <c r="P198" s="288"/>
      <c r="Q198" s="66"/>
      <c r="R198" s="66"/>
      <c r="S198" s="66"/>
      <c r="T198" s="66"/>
    </row>
    <row r="199" spans="1:20" ht="15">
      <c r="A199" s="223">
        <v>195</v>
      </c>
      <c r="B199" s="205" t="s">
        <v>19</v>
      </c>
      <c r="C199" s="164">
        <v>40515</v>
      </c>
      <c r="D199" s="242" t="s">
        <v>118</v>
      </c>
      <c r="E199" s="241">
        <v>62</v>
      </c>
      <c r="F199" s="241">
        <v>8</v>
      </c>
      <c r="G199" s="241">
        <v>16</v>
      </c>
      <c r="H199" s="191">
        <v>3280.5</v>
      </c>
      <c r="I199" s="177">
        <v>512</v>
      </c>
      <c r="J199" s="170">
        <f t="shared" si="32"/>
        <v>64</v>
      </c>
      <c r="K199" s="192">
        <f t="shared" si="33"/>
        <v>6.4072265625</v>
      </c>
      <c r="L199" s="193">
        <f>353151+191248+132731.5+71376+47862+26248.5+19265+34650.5+35095.5+42312+25849+10987+7528+3248+2395.5+3280.5</f>
        <v>1007228</v>
      </c>
      <c r="M199" s="169">
        <f>34650+19352+14525+10591+7581+5012+3223+6065+6865+6589+3930+1782+1091+624+468+512</f>
        <v>122860</v>
      </c>
      <c r="N199" s="210">
        <f t="shared" si="34"/>
        <v>8.198176786586359</v>
      </c>
      <c r="O199" s="297"/>
      <c r="P199" s="288"/>
      <c r="Q199" s="66"/>
      <c r="R199" s="66"/>
      <c r="S199" s="66"/>
      <c r="T199" s="66"/>
    </row>
    <row r="200" spans="1:20" ht="15">
      <c r="A200" s="223">
        <v>196</v>
      </c>
      <c r="B200" s="205" t="s">
        <v>19</v>
      </c>
      <c r="C200" s="164">
        <v>40515</v>
      </c>
      <c r="D200" s="242" t="s">
        <v>118</v>
      </c>
      <c r="E200" s="241">
        <v>62</v>
      </c>
      <c r="F200" s="241">
        <v>9</v>
      </c>
      <c r="G200" s="241">
        <v>14</v>
      </c>
      <c r="H200" s="191">
        <v>3248</v>
      </c>
      <c r="I200" s="177">
        <v>624</v>
      </c>
      <c r="J200" s="170">
        <f t="shared" si="32"/>
        <v>69.33333333333333</v>
      </c>
      <c r="K200" s="192">
        <f t="shared" si="33"/>
        <v>5.205128205128205</v>
      </c>
      <c r="L200" s="193">
        <f>353151+191248+132731.5+71376+47862+26248.5+19265+34650.5+35095.5+42312+25849+10987+7528+3248</f>
        <v>1001552</v>
      </c>
      <c r="M200" s="169">
        <f>34650+19352+14525+10591+7581+5012+3223+6065+6865+6589+3930+1782+1091+624</f>
        <v>121880</v>
      </c>
      <c r="N200" s="210">
        <f t="shared" si="34"/>
        <v>8.217525434853954</v>
      </c>
      <c r="O200" s="296"/>
      <c r="P200" s="288"/>
      <c r="Q200" s="66"/>
      <c r="R200" s="66"/>
      <c r="S200" s="66"/>
      <c r="T200" s="66"/>
    </row>
    <row r="201" spans="1:20" ht="15">
      <c r="A201" s="223">
        <v>197</v>
      </c>
      <c r="B201" s="240" t="s">
        <v>19</v>
      </c>
      <c r="C201" s="400">
        <v>40515</v>
      </c>
      <c r="D201" s="229" t="s">
        <v>212</v>
      </c>
      <c r="E201" s="230">
        <v>62</v>
      </c>
      <c r="F201" s="230">
        <v>6</v>
      </c>
      <c r="G201" s="230">
        <v>17</v>
      </c>
      <c r="H201" s="191">
        <v>3141.5</v>
      </c>
      <c r="I201" s="177">
        <v>688</v>
      </c>
      <c r="J201" s="170">
        <f t="shared" si="32"/>
        <v>114.66666666666667</v>
      </c>
      <c r="K201" s="401">
        <f t="shared" si="33"/>
        <v>4.566133720930233</v>
      </c>
      <c r="L201" s="193">
        <f>353151+191248+132731.5+71376+47862+26248.5+19265+34650.5+35095.5+42312+25849+10987+7528+3248+2395.5+3280.5+3141.5</f>
        <v>1010369.5</v>
      </c>
      <c r="M201" s="169">
        <f>34650+19352+14525+10591+7581+5012+3223+6065+6865+6589+3930+1782+1091+624+468+512+688</f>
        <v>123548</v>
      </c>
      <c r="N201" s="409">
        <f t="shared" si="34"/>
        <v>8.177951079742286</v>
      </c>
      <c r="O201" s="411"/>
      <c r="P201" s="288"/>
      <c r="Q201" s="66"/>
      <c r="R201" s="66"/>
      <c r="S201" s="66"/>
      <c r="T201" s="66"/>
    </row>
    <row r="202" spans="1:20" ht="15">
      <c r="A202" s="223">
        <v>198</v>
      </c>
      <c r="B202" s="457" t="s">
        <v>19</v>
      </c>
      <c r="C202" s="428">
        <v>40515</v>
      </c>
      <c r="D202" s="429" t="s">
        <v>118</v>
      </c>
      <c r="E202" s="430">
        <v>62</v>
      </c>
      <c r="F202" s="430">
        <v>6</v>
      </c>
      <c r="G202" s="430">
        <v>19</v>
      </c>
      <c r="H202" s="191">
        <v>3042</v>
      </c>
      <c r="I202" s="177">
        <v>804</v>
      </c>
      <c r="J202" s="163">
        <v>134</v>
      </c>
      <c r="K202" s="189">
        <v>3.783582089552239</v>
      </c>
      <c r="L202" s="193">
        <v>1017691.5</v>
      </c>
      <c r="M202" s="169">
        <v>125339</v>
      </c>
      <c r="N202" s="210">
        <v>8.119511883771212</v>
      </c>
      <c r="O202" s="454"/>
      <c r="P202" s="288"/>
      <c r="Q202" s="66"/>
      <c r="R202" s="66"/>
      <c r="S202" s="66"/>
      <c r="T202" s="66"/>
    </row>
    <row r="203" spans="1:20" ht="15">
      <c r="A203" s="223">
        <v>199</v>
      </c>
      <c r="B203" s="209" t="s">
        <v>19</v>
      </c>
      <c r="C203" s="173">
        <v>40515</v>
      </c>
      <c r="D203" s="246" t="s">
        <v>118</v>
      </c>
      <c r="E203" s="241">
        <v>62</v>
      </c>
      <c r="F203" s="241">
        <v>8</v>
      </c>
      <c r="G203" s="241">
        <v>15</v>
      </c>
      <c r="H203" s="191">
        <v>2395.5</v>
      </c>
      <c r="I203" s="177">
        <v>468</v>
      </c>
      <c r="J203" s="170">
        <f>(I203/F203)</f>
        <v>58.5</v>
      </c>
      <c r="K203" s="192">
        <f>H203/I203</f>
        <v>5.118589743589744</v>
      </c>
      <c r="L203" s="193">
        <f>353151+191248+132731.5+71376+47862+26248.5+19265+34650.5+35095.5+42312+25849+10987+7528+3248+2395.5</f>
        <v>1003947.5</v>
      </c>
      <c r="M203" s="169">
        <f>34650+19352+14525+10591+7581+5012+3223+6065+6865+6589+3930+1782+1091+624+468</f>
        <v>122348</v>
      </c>
      <c r="N203" s="210">
        <f>L203/M203</f>
        <v>8.205671527119364</v>
      </c>
      <c r="O203" s="268"/>
      <c r="P203" s="288"/>
      <c r="Q203" s="66"/>
      <c r="R203" s="66"/>
      <c r="S203" s="66"/>
      <c r="T203" s="66"/>
    </row>
    <row r="204" spans="1:20" ht="15">
      <c r="A204" s="223">
        <v>200</v>
      </c>
      <c r="B204" s="205" t="s">
        <v>19</v>
      </c>
      <c r="C204" s="164">
        <v>40515</v>
      </c>
      <c r="D204" s="242" t="s">
        <v>118</v>
      </c>
      <c r="E204" s="241">
        <v>62</v>
      </c>
      <c r="F204" s="241">
        <v>3</v>
      </c>
      <c r="G204" s="241">
        <v>20</v>
      </c>
      <c r="H204" s="191">
        <v>1597</v>
      </c>
      <c r="I204" s="177">
        <v>306</v>
      </c>
      <c r="J204" s="170">
        <f>(I204/F204)</f>
        <v>102</v>
      </c>
      <c r="K204" s="192">
        <f>H204/I204</f>
        <v>5.218954248366013</v>
      </c>
      <c r="L204" s="193">
        <f>353151+191248+132731.5+71376+47862+26248.5+19265+34650.5+35095.5+42312+25849+10987+7528+3248+2395.5+3280.5+3141.5+4280+3042+1597</f>
        <v>1019288.5</v>
      </c>
      <c r="M204" s="169">
        <f>34650+19352+14525+10591+7581+5012+3223+6065+6865+6589+3930+1782+1091+624+468+512+688+987+804+306</f>
        <v>125645</v>
      </c>
      <c r="N204" s="210">
        <f>L204/M204</f>
        <v>8.112447769509332</v>
      </c>
      <c r="O204" s="541"/>
      <c r="P204" s="288"/>
      <c r="Q204" s="66"/>
      <c r="R204" s="66"/>
      <c r="S204" s="66"/>
      <c r="T204" s="66"/>
    </row>
    <row r="205" spans="1:20" ht="15">
      <c r="A205" s="223">
        <v>201</v>
      </c>
      <c r="B205" s="377" t="s">
        <v>77</v>
      </c>
      <c r="C205" s="164">
        <v>40487</v>
      </c>
      <c r="D205" s="300" t="s">
        <v>23</v>
      </c>
      <c r="E205" s="241">
        <v>205</v>
      </c>
      <c r="F205" s="241">
        <v>3</v>
      </c>
      <c r="G205" s="241">
        <v>9</v>
      </c>
      <c r="H205" s="305">
        <v>2650</v>
      </c>
      <c r="I205" s="178">
        <v>405</v>
      </c>
      <c r="J205" s="165">
        <f>I205/F205</f>
        <v>135</v>
      </c>
      <c r="K205" s="312">
        <f>+H205/I205</f>
        <v>6.54320987654321</v>
      </c>
      <c r="L205" s="253">
        <v>1135918</v>
      </c>
      <c r="M205" s="166">
        <v>131505</v>
      </c>
      <c r="N205" s="254">
        <f>+L205/M205</f>
        <v>8.637831261168778</v>
      </c>
      <c r="O205" s="268"/>
      <c r="P205" s="288"/>
      <c r="Q205" s="66"/>
      <c r="R205" s="66"/>
      <c r="S205" s="66"/>
      <c r="T205" s="66"/>
    </row>
    <row r="206" spans="1:20" ht="15">
      <c r="A206" s="223">
        <v>202</v>
      </c>
      <c r="B206" s="377" t="s">
        <v>13</v>
      </c>
      <c r="C206" s="164">
        <v>40473</v>
      </c>
      <c r="D206" s="300" t="s">
        <v>23</v>
      </c>
      <c r="E206" s="241">
        <v>100</v>
      </c>
      <c r="F206" s="241">
        <v>1</v>
      </c>
      <c r="G206" s="241">
        <v>11</v>
      </c>
      <c r="H206" s="305">
        <v>846</v>
      </c>
      <c r="I206" s="178">
        <v>141</v>
      </c>
      <c r="J206" s="165">
        <f>I206/F206</f>
        <v>141</v>
      </c>
      <c r="K206" s="312">
        <f>+H206/I206</f>
        <v>6</v>
      </c>
      <c r="L206" s="253">
        <v>1818047</v>
      </c>
      <c r="M206" s="166">
        <v>188946</v>
      </c>
      <c r="N206" s="254">
        <f>+L206/M206</f>
        <v>9.622045452139766</v>
      </c>
      <c r="O206" s="297">
        <v>1</v>
      </c>
      <c r="P206" s="288"/>
      <c r="Q206" s="66"/>
      <c r="R206" s="66"/>
      <c r="S206" s="66"/>
      <c r="T206" s="66"/>
    </row>
    <row r="207" spans="1:20" ht="15">
      <c r="A207" s="223">
        <v>203</v>
      </c>
      <c r="B207" s="383" t="s">
        <v>93</v>
      </c>
      <c r="C207" s="175">
        <v>40347</v>
      </c>
      <c r="D207" s="229" t="s">
        <v>118</v>
      </c>
      <c r="E207" s="247">
        <v>66</v>
      </c>
      <c r="F207" s="247">
        <v>3</v>
      </c>
      <c r="G207" s="247">
        <v>27</v>
      </c>
      <c r="H207" s="191">
        <v>3382</v>
      </c>
      <c r="I207" s="177">
        <v>852</v>
      </c>
      <c r="J207" s="170">
        <f>(I207/F207)</f>
        <v>284</v>
      </c>
      <c r="K207" s="192">
        <f>H207/I207</f>
        <v>3.9694835680751175</v>
      </c>
      <c r="L207" s="193">
        <f>478213+7083+3309.5+6055+4900+8378+4378.5+2349+3103+2074+7679.5+6108+2991.5+2180+2234+642+2775.5+1757+1151+3382</f>
        <v>550743.5</v>
      </c>
      <c r="M207" s="169">
        <f>55327+1259+553+1133+756+1285+650+408+682+334+1688+1394+539+483+475+201+677+260+202+852</f>
        <v>69158</v>
      </c>
      <c r="N207" s="210">
        <f>L207/M207</f>
        <v>7.963554469475693</v>
      </c>
      <c r="O207" s="297"/>
      <c r="P207" s="288"/>
      <c r="Q207" s="66"/>
      <c r="R207" s="66"/>
      <c r="S207" s="66"/>
      <c r="T207" s="66"/>
    </row>
    <row r="208" spans="1:20" ht="15">
      <c r="A208" s="223">
        <v>204</v>
      </c>
      <c r="B208" s="383" t="s">
        <v>93</v>
      </c>
      <c r="C208" s="175">
        <v>40347</v>
      </c>
      <c r="D208" s="229" t="s">
        <v>118</v>
      </c>
      <c r="E208" s="247">
        <v>66</v>
      </c>
      <c r="F208" s="247">
        <v>1</v>
      </c>
      <c r="G208" s="247">
        <v>29</v>
      </c>
      <c r="H208" s="191">
        <v>1782</v>
      </c>
      <c r="I208" s="177">
        <v>445</v>
      </c>
      <c r="J208" s="170">
        <f>(I208/F208)</f>
        <v>445</v>
      </c>
      <c r="K208" s="192">
        <f>H208/I208</f>
        <v>4.004494382022472</v>
      </c>
      <c r="L208" s="193">
        <f>478213+7083+3309.5+6055+4900+8378+4378.5+2349+3103+2074+7679.5+6108+2991.5+2180+2234+642+2775.5+1757+1151+3382+60+1782</f>
        <v>552585.5</v>
      </c>
      <c r="M208" s="169">
        <f>55327+1259+553+1133+756+1285+650+408+682+334+1688+1394+539+483+475+201+677+260+202+852+20+445</f>
        <v>69623</v>
      </c>
      <c r="N208" s="210">
        <f>L208/M208</f>
        <v>7.936824038033408</v>
      </c>
      <c r="O208" s="268"/>
      <c r="P208" s="288"/>
      <c r="Q208" s="66"/>
      <c r="R208" s="66"/>
      <c r="S208" s="66"/>
      <c r="T208" s="66"/>
    </row>
    <row r="209" spans="1:15" ht="15">
      <c r="A209" s="223">
        <v>205</v>
      </c>
      <c r="B209" s="382" t="s">
        <v>93</v>
      </c>
      <c r="C209" s="342">
        <v>40347</v>
      </c>
      <c r="D209" s="229" t="s">
        <v>118</v>
      </c>
      <c r="E209" s="343">
        <v>66</v>
      </c>
      <c r="F209" s="343">
        <v>1</v>
      </c>
      <c r="G209" s="343">
        <v>28</v>
      </c>
      <c r="H209" s="303">
        <v>60</v>
      </c>
      <c r="I209" s="307">
        <v>20</v>
      </c>
      <c r="J209" s="308">
        <f>(I209/F209)</f>
        <v>20</v>
      </c>
      <c r="K209" s="310">
        <f>H209/I209</f>
        <v>3</v>
      </c>
      <c r="L209" s="313">
        <f>478213+7083+3309.5+6055+4900+8378+4378.5+2349+3103+2074+7679.5+6108+2991.5+2180+2234+642+2775.5+1757+1151+3382+60</f>
        <v>550803.5</v>
      </c>
      <c r="M209" s="314">
        <f>55327+1259+553+1133+756+1285+650+408+682+334+1688+1394+539+483+475+201+677+260+202+852+20</f>
        <v>69178</v>
      </c>
      <c r="N209" s="373">
        <f>L209/M209</f>
        <v>7.962119459943913</v>
      </c>
      <c r="O209" s="416"/>
    </row>
    <row r="210" spans="1:15" ht="15">
      <c r="A210" s="223">
        <v>206</v>
      </c>
      <c r="B210" s="374" t="s">
        <v>78</v>
      </c>
      <c r="C210" s="161">
        <v>38764</v>
      </c>
      <c r="D210" s="317" t="s">
        <v>17</v>
      </c>
      <c r="E210" s="243">
        <v>113</v>
      </c>
      <c r="F210" s="243">
        <v>1</v>
      </c>
      <c r="G210" s="243">
        <v>20</v>
      </c>
      <c r="H210" s="325">
        <v>2014</v>
      </c>
      <c r="I210" s="181">
        <v>403</v>
      </c>
      <c r="J210" s="168">
        <f>IF(H210&lt;&gt;0,I210/F210,"")</f>
        <v>403</v>
      </c>
      <c r="K210" s="326">
        <f>IF(H210&lt;&gt;0,H210/I210,"")</f>
        <v>4.997518610421836</v>
      </c>
      <c r="L210" s="327">
        <f>1551334+0+1188+H210</f>
        <v>1554536</v>
      </c>
      <c r="M210" s="165">
        <f>207370+0+238+I210</f>
        <v>208011</v>
      </c>
      <c r="N210" s="376">
        <f>IF(L210&lt;&gt;0,L210/M210,"")</f>
        <v>7.473335544754844</v>
      </c>
      <c r="O210" s="297"/>
    </row>
    <row r="211" spans="1:15" ht="15">
      <c r="A211" s="223">
        <v>207</v>
      </c>
      <c r="B211" s="240" t="s">
        <v>158</v>
      </c>
      <c r="C211" s="257">
        <v>40025</v>
      </c>
      <c r="D211" s="229" t="s">
        <v>118</v>
      </c>
      <c r="E211" s="230">
        <v>1</v>
      </c>
      <c r="F211" s="230">
        <v>1</v>
      </c>
      <c r="G211" s="230">
        <v>9</v>
      </c>
      <c r="H211" s="191">
        <v>952</v>
      </c>
      <c r="I211" s="177">
        <v>238</v>
      </c>
      <c r="J211" s="170">
        <f>(I211/F211)</f>
        <v>238</v>
      </c>
      <c r="K211" s="192">
        <f aca="true" t="shared" si="35" ref="K211:K219">H211/I211</f>
        <v>4</v>
      </c>
      <c r="L211" s="193">
        <f>6157+1979.5+2138+815+825+343+114+159+952</f>
        <v>13482.5</v>
      </c>
      <c r="M211" s="169">
        <f>452+147+247+163+165+40+19+36+238</f>
        <v>1507</v>
      </c>
      <c r="N211" s="210">
        <f>L211/M211</f>
        <v>8.946582614465827</v>
      </c>
      <c r="O211" s="399"/>
    </row>
    <row r="212" spans="1:15" ht="15">
      <c r="A212" s="223">
        <v>208</v>
      </c>
      <c r="B212" s="379" t="s">
        <v>68</v>
      </c>
      <c r="C212" s="161">
        <v>40501</v>
      </c>
      <c r="D212" s="336" t="s">
        <v>25</v>
      </c>
      <c r="E212" s="231">
        <v>121</v>
      </c>
      <c r="F212" s="231">
        <v>18</v>
      </c>
      <c r="G212" s="231">
        <v>7</v>
      </c>
      <c r="H212" s="337">
        <v>10646</v>
      </c>
      <c r="I212" s="179">
        <v>2164</v>
      </c>
      <c r="J212" s="172">
        <f>I212/F212</f>
        <v>120.22222222222223</v>
      </c>
      <c r="K212" s="338">
        <f t="shared" si="35"/>
        <v>4.919593345656192</v>
      </c>
      <c r="L212" s="339">
        <v>1582988</v>
      </c>
      <c r="M212" s="171">
        <v>158006</v>
      </c>
      <c r="N212" s="380">
        <f>+L212/M212</f>
        <v>10.018530941862966</v>
      </c>
      <c r="O212" s="268"/>
    </row>
    <row r="213" spans="1:15" ht="15">
      <c r="A213" s="223">
        <v>209</v>
      </c>
      <c r="B213" s="211" t="s">
        <v>68</v>
      </c>
      <c r="C213" s="161">
        <v>40501</v>
      </c>
      <c r="D213" s="336" t="s">
        <v>25</v>
      </c>
      <c r="E213" s="231">
        <v>121</v>
      </c>
      <c r="F213" s="231">
        <v>6</v>
      </c>
      <c r="G213" s="231">
        <v>8</v>
      </c>
      <c r="H213" s="202">
        <v>6256</v>
      </c>
      <c r="I213" s="179">
        <v>1715</v>
      </c>
      <c r="J213" s="172">
        <f>I213/F213</f>
        <v>285.8333333333333</v>
      </c>
      <c r="K213" s="203">
        <f t="shared" si="35"/>
        <v>3.647813411078717</v>
      </c>
      <c r="L213" s="204">
        <v>1589244</v>
      </c>
      <c r="M213" s="171">
        <v>159721</v>
      </c>
      <c r="N213" s="215">
        <f>+L213/M213</f>
        <v>9.95012553139537</v>
      </c>
      <c r="O213" s="296">
        <v>1</v>
      </c>
    </row>
    <row r="214" spans="1:15" ht="15">
      <c r="A214" s="223">
        <v>210</v>
      </c>
      <c r="B214" s="211" t="s">
        <v>68</v>
      </c>
      <c r="C214" s="321">
        <v>40501</v>
      </c>
      <c r="D214" s="232" t="s">
        <v>25</v>
      </c>
      <c r="E214" s="231">
        <v>121</v>
      </c>
      <c r="F214" s="231">
        <v>5</v>
      </c>
      <c r="G214" s="231">
        <v>15</v>
      </c>
      <c r="H214" s="337">
        <v>5491.95</v>
      </c>
      <c r="I214" s="478">
        <v>1653</v>
      </c>
      <c r="J214" s="479">
        <f>I214/F214</f>
        <v>330.6</v>
      </c>
      <c r="K214" s="338">
        <f t="shared" si="35"/>
        <v>3.3224137931034483</v>
      </c>
      <c r="L214" s="339">
        <v>1609599</v>
      </c>
      <c r="M214" s="483">
        <v>165154</v>
      </c>
      <c r="N214" s="380">
        <f>+L214/M214</f>
        <v>9.74604914201291</v>
      </c>
      <c r="O214" s="399">
        <v>1</v>
      </c>
    </row>
    <row r="215" spans="1:15" ht="15">
      <c r="A215" s="223">
        <v>211</v>
      </c>
      <c r="B215" s="379" t="s">
        <v>68</v>
      </c>
      <c r="C215" s="161">
        <v>40501</v>
      </c>
      <c r="D215" s="232" t="s">
        <v>25</v>
      </c>
      <c r="E215" s="231">
        <v>121</v>
      </c>
      <c r="F215" s="231">
        <v>4</v>
      </c>
      <c r="G215" s="231">
        <v>10</v>
      </c>
      <c r="H215" s="202">
        <v>4266.5</v>
      </c>
      <c r="I215" s="179">
        <v>780</v>
      </c>
      <c r="J215" s="170">
        <f>(I215/F215)</f>
        <v>195</v>
      </c>
      <c r="K215" s="192">
        <f t="shared" si="35"/>
        <v>5.4698717948717945</v>
      </c>
      <c r="L215" s="204">
        <v>1596605</v>
      </c>
      <c r="M215" s="171">
        <v>161481</v>
      </c>
      <c r="N215" s="210">
        <f>L215/M215</f>
        <v>9.887262278534317</v>
      </c>
      <c r="O215" s="268">
        <v>1</v>
      </c>
    </row>
    <row r="216" spans="1:15" ht="15">
      <c r="A216" s="223">
        <v>212</v>
      </c>
      <c r="B216" s="211" t="s">
        <v>138</v>
      </c>
      <c r="C216" s="161">
        <v>40501</v>
      </c>
      <c r="D216" s="232" t="s">
        <v>25</v>
      </c>
      <c r="E216" s="231">
        <v>121</v>
      </c>
      <c r="F216" s="231">
        <v>3</v>
      </c>
      <c r="G216" s="231">
        <v>12</v>
      </c>
      <c r="H216" s="202">
        <v>1882</v>
      </c>
      <c r="I216" s="179">
        <v>579</v>
      </c>
      <c r="J216" s="172">
        <f>I216/F216</f>
        <v>193</v>
      </c>
      <c r="K216" s="203">
        <f t="shared" si="35"/>
        <v>3.250431778929188</v>
      </c>
      <c r="L216" s="204">
        <v>1599042</v>
      </c>
      <c r="M216" s="171">
        <v>162149</v>
      </c>
      <c r="N216" s="215">
        <f>+L216/M216</f>
        <v>9.86155942990706</v>
      </c>
      <c r="O216" s="415"/>
    </row>
    <row r="217" spans="1:15" ht="15">
      <c r="A217" s="223">
        <v>213</v>
      </c>
      <c r="B217" s="211" t="s">
        <v>68</v>
      </c>
      <c r="C217" s="161">
        <v>40501</v>
      </c>
      <c r="D217" s="232" t="s">
        <v>25</v>
      </c>
      <c r="E217" s="231">
        <v>121</v>
      </c>
      <c r="F217" s="231">
        <v>2</v>
      </c>
      <c r="G217" s="231">
        <v>13</v>
      </c>
      <c r="H217" s="202">
        <v>1565</v>
      </c>
      <c r="I217" s="179">
        <v>369</v>
      </c>
      <c r="J217" s="172">
        <f>I217/F217</f>
        <v>184.5</v>
      </c>
      <c r="K217" s="203">
        <f t="shared" si="35"/>
        <v>4.2411924119241196</v>
      </c>
      <c r="L217" s="204">
        <v>1601521</v>
      </c>
      <c r="M217" s="171">
        <v>162757</v>
      </c>
      <c r="N217" s="215">
        <f>+L217/M217</f>
        <v>9.839951584263657</v>
      </c>
      <c r="O217" s="414">
        <v>1</v>
      </c>
    </row>
    <row r="218" spans="1:15" ht="15">
      <c r="A218" s="223">
        <v>214</v>
      </c>
      <c r="B218" s="211" t="s">
        <v>112</v>
      </c>
      <c r="C218" s="161">
        <v>40501</v>
      </c>
      <c r="D218" s="232" t="s">
        <v>25</v>
      </c>
      <c r="E218" s="231">
        <v>121</v>
      </c>
      <c r="F218" s="231">
        <v>3</v>
      </c>
      <c r="G218" s="231">
        <v>9</v>
      </c>
      <c r="H218" s="202">
        <v>1204</v>
      </c>
      <c r="I218" s="179">
        <v>296</v>
      </c>
      <c r="J218" s="172">
        <f>I218/F218</f>
        <v>98.66666666666667</v>
      </c>
      <c r="K218" s="203">
        <f t="shared" si="35"/>
        <v>4.0675675675675675</v>
      </c>
      <c r="L218" s="204">
        <v>1592338</v>
      </c>
      <c r="M218" s="171">
        <v>160701</v>
      </c>
      <c r="N218" s="215">
        <f>+L218/M218</f>
        <v>9.908700008089557</v>
      </c>
      <c r="O218" s="268">
        <v>1</v>
      </c>
    </row>
    <row r="219" spans="1:15" ht="15">
      <c r="A219" s="223">
        <v>215</v>
      </c>
      <c r="B219" s="211" t="s">
        <v>112</v>
      </c>
      <c r="C219" s="161">
        <v>40501</v>
      </c>
      <c r="D219" s="232" t="s">
        <v>25</v>
      </c>
      <c r="E219" s="231">
        <v>121</v>
      </c>
      <c r="F219" s="231">
        <v>2</v>
      </c>
      <c r="G219" s="231">
        <v>11</v>
      </c>
      <c r="H219" s="202">
        <v>556</v>
      </c>
      <c r="I219" s="179">
        <v>89</v>
      </c>
      <c r="J219" s="172">
        <f>I219/F219</f>
        <v>44.5</v>
      </c>
      <c r="K219" s="203">
        <f t="shared" si="35"/>
        <v>6.247191011235955</v>
      </c>
      <c r="L219" s="204">
        <v>1597161</v>
      </c>
      <c r="M219" s="171">
        <v>161570</v>
      </c>
      <c r="N219" s="208">
        <f>+L219/M219</f>
        <v>9.88525716407749</v>
      </c>
      <c r="O219" s="268">
        <v>1</v>
      </c>
    </row>
    <row r="220" spans="1:15" ht="15">
      <c r="A220" s="223">
        <v>216</v>
      </c>
      <c r="B220" s="469" t="s">
        <v>112</v>
      </c>
      <c r="C220" s="465">
        <v>40501</v>
      </c>
      <c r="D220" s="472" t="s">
        <v>25</v>
      </c>
      <c r="E220" s="475">
        <v>121</v>
      </c>
      <c r="F220" s="475">
        <v>1</v>
      </c>
      <c r="G220" s="475">
        <v>21</v>
      </c>
      <c r="H220" s="202">
        <v>342</v>
      </c>
      <c r="I220" s="179">
        <v>114</v>
      </c>
      <c r="J220" s="163">
        <v>114</v>
      </c>
      <c r="K220" s="189">
        <v>3</v>
      </c>
      <c r="L220" s="204">
        <v>1610808</v>
      </c>
      <c r="M220" s="171">
        <v>165552</v>
      </c>
      <c r="N220" s="215">
        <v>9.729921716439547</v>
      </c>
      <c r="O220" s="484">
        <v>1</v>
      </c>
    </row>
    <row r="221" spans="1:15" ht="15">
      <c r="A221" s="223">
        <v>217</v>
      </c>
      <c r="B221" s="372" t="s">
        <v>146</v>
      </c>
      <c r="C221" s="299">
        <v>40466</v>
      </c>
      <c r="D221" s="229" t="s">
        <v>118</v>
      </c>
      <c r="E221" s="301">
        <v>139</v>
      </c>
      <c r="F221" s="301">
        <v>1</v>
      </c>
      <c r="G221" s="301">
        <v>12</v>
      </c>
      <c r="H221" s="191">
        <v>770</v>
      </c>
      <c r="I221" s="177">
        <v>44</v>
      </c>
      <c r="J221" s="170">
        <f>(I221/F221)</f>
        <v>44</v>
      </c>
      <c r="K221" s="192">
        <f>H221/I221</f>
        <v>17.5</v>
      </c>
      <c r="L221" s="193">
        <f>859399.5+611922.5+597511+92540.5+35432.5+12313+8417+3230+2786+1901+208.5+770</f>
        <v>2226431.5</v>
      </c>
      <c r="M221" s="169">
        <f>81834+61457+58453+8463+3493+2070+1395+1040+668+474+59+44</f>
        <v>219450</v>
      </c>
      <c r="N221" s="210">
        <f>L221/M221</f>
        <v>10.14550694919116</v>
      </c>
      <c r="O221" s="414"/>
    </row>
    <row r="222" spans="1:15" ht="15">
      <c r="A222" s="223">
        <v>218</v>
      </c>
      <c r="B222" s="240" t="s">
        <v>126</v>
      </c>
      <c r="C222" s="257">
        <v>40466</v>
      </c>
      <c r="D222" s="229" t="s">
        <v>118</v>
      </c>
      <c r="E222" s="230">
        <v>139</v>
      </c>
      <c r="F222" s="230">
        <v>1</v>
      </c>
      <c r="G222" s="230">
        <v>13</v>
      </c>
      <c r="H222" s="304">
        <v>241</v>
      </c>
      <c r="I222" s="315">
        <v>42</v>
      </c>
      <c r="J222" s="316">
        <f>(I222/F222)</f>
        <v>42</v>
      </c>
      <c r="K222" s="311">
        <f>H222/I222</f>
        <v>5.738095238095238</v>
      </c>
      <c r="L222" s="184">
        <f>859399.5+611922.5+597511+92540.5+35432.5+12313+8417+3230+2786+1901+208.5+770+241</f>
        <v>2226672.5</v>
      </c>
      <c r="M222" s="266">
        <f>81834+61457+58453+8463+3493+2070+1395+1040+668+474+59+44+42</f>
        <v>219492</v>
      </c>
      <c r="N222" s="185">
        <f>L222/M222</f>
        <v>10.144663586827766</v>
      </c>
      <c r="O222" s="399"/>
    </row>
    <row r="223" spans="1:15" ht="15">
      <c r="A223" s="223">
        <v>219</v>
      </c>
      <c r="B223" s="371" t="s">
        <v>126</v>
      </c>
      <c r="C223" s="164">
        <v>40466</v>
      </c>
      <c r="D223" s="229" t="s">
        <v>118</v>
      </c>
      <c r="E223" s="241">
        <v>139</v>
      </c>
      <c r="F223" s="241">
        <v>1</v>
      </c>
      <c r="G223" s="241">
        <v>11</v>
      </c>
      <c r="H223" s="191">
        <v>208.5</v>
      </c>
      <c r="I223" s="177">
        <v>59</v>
      </c>
      <c r="J223" s="170">
        <f>(I223/F223)</f>
        <v>59</v>
      </c>
      <c r="K223" s="192">
        <f>H223/I223</f>
        <v>3.5338983050847457</v>
      </c>
      <c r="L223" s="193">
        <f>859399.5+611922.5+597511+92540.5+35432.5+12313+8417+3230+2786+1901+208.5</f>
        <v>2225661.5</v>
      </c>
      <c r="M223" s="169">
        <f>81834+61457+58453+8463+3493+2070+1395+1040+668+474+59</f>
        <v>219406</v>
      </c>
      <c r="N223" s="210">
        <f>L223/M223</f>
        <v>10.14403206840287</v>
      </c>
      <c r="O223" s="268"/>
    </row>
    <row r="224" spans="1:15" ht="15">
      <c r="A224" s="223">
        <v>220</v>
      </c>
      <c r="B224" s="379" t="s">
        <v>0</v>
      </c>
      <c r="C224" s="161">
        <v>40431</v>
      </c>
      <c r="D224" s="346" t="s">
        <v>27</v>
      </c>
      <c r="E224" s="231">
        <v>124</v>
      </c>
      <c r="F224" s="231">
        <v>1</v>
      </c>
      <c r="G224" s="231">
        <v>12</v>
      </c>
      <c r="H224" s="347">
        <v>567</v>
      </c>
      <c r="I224" s="180">
        <v>95</v>
      </c>
      <c r="J224" s="168">
        <f>+I224/F224</f>
        <v>95</v>
      </c>
      <c r="K224" s="326">
        <f>+H224/I224</f>
        <v>5.968421052631579</v>
      </c>
      <c r="L224" s="348">
        <v>3688296</v>
      </c>
      <c r="M224" s="167">
        <v>331614</v>
      </c>
      <c r="N224" s="376">
        <f>+L224/M224</f>
        <v>11.12225659954043</v>
      </c>
      <c r="O224" s="297"/>
    </row>
    <row r="225" spans="1:15" ht="15">
      <c r="A225" s="223">
        <v>221</v>
      </c>
      <c r="B225" s="205" t="s">
        <v>145</v>
      </c>
      <c r="C225" s="164">
        <v>40081</v>
      </c>
      <c r="D225" s="229" t="s">
        <v>118</v>
      </c>
      <c r="E225" s="241">
        <v>10</v>
      </c>
      <c r="F225" s="241">
        <v>1</v>
      </c>
      <c r="G225" s="241">
        <v>9</v>
      </c>
      <c r="H225" s="191">
        <v>952</v>
      </c>
      <c r="I225" s="177">
        <v>238</v>
      </c>
      <c r="J225" s="170">
        <f>(I225/F225)</f>
        <v>238</v>
      </c>
      <c r="K225" s="192">
        <f>H225/I225</f>
        <v>4</v>
      </c>
      <c r="L225" s="193">
        <f>15355.5+7416.5+5376.5+1210+1050.5+1780+1780+1780+952</f>
        <v>36701</v>
      </c>
      <c r="M225" s="169">
        <f>1226+729+733+198+202+445+445+445+238</f>
        <v>4661</v>
      </c>
      <c r="N225" s="210">
        <f>L225/M225</f>
        <v>7.874061360223128</v>
      </c>
      <c r="O225" s="414"/>
    </row>
    <row r="226" spans="1:15" ht="15">
      <c r="A226" s="223">
        <v>222</v>
      </c>
      <c r="B226" s="377" t="s">
        <v>30</v>
      </c>
      <c r="C226" s="164">
        <v>40466</v>
      </c>
      <c r="D226" s="290" t="s">
        <v>23</v>
      </c>
      <c r="E226" s="241">
        <v>119</v>
      </c>
      <c r="F226" s="241">
        <v>3</v>
      </c>
      <c r="G226" s="241">
        <v>15</v>
      </c>
      <c r="H226" s="186">
        <v>2636</v>
      </c>
      <c r="I226" s="178">
        <v>738</v>
      </c>
      <c r="J226" s="165">
        <f aca="true" t="shared" si="36" ref="J226:J240">I226/F226</f>
        <v>246</v>
      </c>
      <c r="K226" s="200">
        <f aca="true" t="shared" si="37" ref="K226:K232">+H226/I226</f>
        <v>3.5718157181571817</v>
      </c>
      <c r="L226" s="187">
        <v>2014015</v>
      </c>
      <c r="M226" s="166">
        <v>175303</v>
      </c>
      <c r="N226" s="206">
        <f aca="true" t="shared" si="38" ref="N226:N240">+L226/M226</f>
        <v>11.488765166597263</v>
      </c>
      <c r="O226" s="426"/>
    </row>
    <row r="227" spans="1:15" ht="15">
      <c r="A227" s="223">
        <v>223</v>
      </c>
      <c r="B227" s="377" t="s">
        <v>30</v>
      </c>
      <c r="C227" s="164">
        <v>40466</v>
      </c>
      <c r="D227" s="300" t="s">
        <v>23</v>
      </c>
      <c r="E227" s="241">
        <v>119</v>
      </c>
      <c r="F227" s="241">
        <v>3</v>
      </c>
      <c r="G227" s="241">
        <v>12</v>
      </c>
      <c r="H227" s="305">
        <v>999</v>
      </c>
      <c r="I227" s="178">
        <v>212</v>
      </c>
      <c r="J227" s="165">
        <f t="shared" si="36"/>
        <v>70.66666666666667</v>
      </c>
      <c r="K227" s="312">
        <f t="shared" si="37"/>
        <v>4.712264150943396</v>
      </c>
      <c r="L227" s="253">
        <v>2010636</v>
      </c>
      <c r="M227" s="166">
        <v>174432</v>
      </c>
      <c r="N227" s="254">
        <f t="shared" si="38"/>
        <v>11.526761144744084</v>
      </c>
      <c r="O227" s="268"/>
    </row>
    <row r="228" spans="1:15" ht="15">
      <c r="A228" s="223">
        <v>224</v>
      </c>
      <c r="B228" s="238" t="s">
        <v>30</v>
      </c>
      <c r="C228" s="224">
        <v>40466</v>
      </c>
      <c r="D228" s="225" t="s">
        <v>23</v>
      </c>
      <c r="E228" s="226">
        <v>119</v>
      </c>
      <c r="F228" s="226">
        <v>1</v>
      </c>
      <c r="G228" s="226">
        <v>14</v>
      </c>
      <c r="H228" s="302">
        <v>558</v>
      </c>
      <c r="I228" s="306">
        <v>93</v>
      </c>
      <c r="J228" s="228">
        <f t="shared" si="36"/>
        <v>93</v>
      </c>
      <c r="K228" s="309">
        <f t="shared" si="37"/>
        <v>6</v>
      </c>
      <c r="L228" s="227">
        <v>2011379</v>
      </c>
      <c r="M228" s="228">
        <v>174565</v>
      </c>
      <c r="N228" s="239">
        <f t="shared" si="38"/>
        <v>11.522235270529603</v>
      </c>
      <c r="O228" s="417"/>
    </row>
    <row r="229" spans="1:15" ht="15">
      <c r="A229" s="223">
        <v>225</v>
      </c>
      <c r="B229" s="209" t="s">
        <v>30</v>
      </c>
      <c r="C229" s="164">
        <v>40466</v>
      </c>
      <c r="D229" s="300" t="s">
        <v>23</v>
      </c>
      <c r="E229" s="241">
        <v>119</v>
      </c>
      <c r="F229" s="241">
        <v>2</v>
      </c>
      <c r="G229" s="241">
        <v>13</v>
      </c>
      <c r="H229" s="186">
        <v>185</v>
      </c>
      <c r="I229" s="178">
        <v>40</v>
      </c>
      <c r="J229" s="165">
        <f t="shared" si="36"/>
        <v>20</v>
      </c>
      <c r="K229" s="200">
        <f t="shared" si="37"/>
        <v>4.625</v>
      </c>
      <c r="L229" s="187">
        <v>2010821</v>
      </c>
      <c r="M229" s="166">
        <v>174472</v>
      </c>
      <c r="N229" s="206">
        <f t="shared" si="38"/>
        <v>11.525178825255628</v>
      </c>
      <c r="O229" s="426"/>
    </row>
    <row r="230" spans="1:15" ht="15">
      <c r="A230" s="223">
        <v>226</v>
      </c>
      <c r="B230" s="240" t="s">
        <v>30</v>
      </c>
      <c r="C230" s="164">
        <v>40466</v>
      </c>
      <c r="D230" s="229" t="s">
        <v>23</v>
      </c>
      <c r="E230" s="230">
        <v>119</v>
      </c>
      <c r="F230" s="230">
        <v>1</v>
      </c>
      <c r="G230" s="230">
        <v>17</v>
      </c>
      <c r="H230" s="186">
        <v>168</v>
      </c>
      <c r="I230" s="178">
        <v>28</v>
      </c>
      <c r="J230" s="165">
        <f t="shared" si="36"/>
        <v>28</v>
      </c>
      <c r="K230" s="200">
        <f t="shared" si="37"/>
        <v>6</v>
      </c>
      <c r="L230" s="187">
        <v>2014279</v>
      </c>
      <c r="M230" s="166">
        <v>175347</v>
      </c>
      <c r="N230" s="206">
        <f t="shared" si="38"/>
        <v>11.487387865204424</v>
      </c>
      <c r="O230" s="415"/>
    </row>
    <row r="231" spans="1:15" ht="15">
      <c r="A231" s="223">
        <v>227</v>
      </c>
      <c r="B231" s="209" t="s">
        <v>30</v>
      </c>
      <c r="C231" s="164">
        <v>40466</v>
      </c>
      <c r="D231" s="290" t="s">
        <v>23</v>
      </c>
      <c r="E231" s="241">
        <v>119</v>
      </c>
      <c r="F231" s="241">
        <v>1</v>
      </c>
      <c r="G231" s="241">
        <v>16</v>
      </c>
      <c r="H231" s="186">
        <v>96</v>
      </c>
      <c r="I231" s="178">
        <v>16</v>
      </c>
      <c r="J231" s="165">
        <f t="shared" si="36"/>
        <v>16</v>
      </c>
      <c r="K231" s="200">
        <f t="shared" si="37"/>
        <v>6</v>
      </c>
      <c r="L231" s="187">
        <v>2014111</v>
      </c>
      <c r="M231" s="166">
        <v>175319</v>
      </c>
      <c r="N231" s="208">
        <f t="shared" si="38"/>
        <v>11.488264249739046</v>
      </c>
      <c r="O231" s="268"/>
    </row>
    <row r="232" spans="1:15" ht="15">
      <c r="A232" s="223">
        <v>228</v>
      </c>
      <c r="B232" s="238" t="s">
        <v>30</v>
      </c>
      <c r="C232" s="224">
        <v>40466</v>
      </c>
      <c r="D232" s="225" t="s">
        <v>23</v>
      </c>
      <c r="E232" s="226">
        <v>119</v>
      </c>
      <c r="F232" s="226">
        <v>1</v>
      </c>
      <c r="G232" s="226">
        <v>18</v>
      </c>
      <c r="H232" s="302">
        <v>66</v>
      </c>
      <c r="I232" s="306">
        <v>11</v>
      </c>
      <c r="J232" s="228">
        <f t="shared" si="36"/>
        <v>11</v>
      </c>
      <c r="K232" s="309">
        <f t="shared" si="37"/>
        <v>6</v>
      </c>
      <c r="L232" s="227">
        <v>2014345</v>
      </c>
      <c r="M232" s="228">
        <v>175358</v>
      </c>
      <c r="N232" s="239">
        <f t="shared" si="38"/>
        <v>11.487043647851824</v>
      </c>
      <c r="O232" s="414"/>
    </row>
    <row r="233" spans="1:15" ht="15">
      <c r="A233" s="223">
        <v>229</v>
      </c>
      <c r="B233" s="374" t="s">
        <v>29</v>
      </c>
      <c r="C233" s="161">
        <v>40494</v>
      </c>
      <c r="D233" s="317" t="s">
        <v>24</v>
      </c>
      <c r="E233" s="243">
        <v>144</v>
      </c>
      <c r="F233" s="243">
        <v>16</v>
      </c>
      <c r="G233" s="243">
        <v>8</v>
      </c>
      <c r="H233" s="318">
        <v>13943</v>
      </c>
      <c r="I233" s="176">
        <v>2193</v>
      </c>
      <c r="J233" s="163">
        <f t="shared" si="36"/>
        <v>137.0625</v>
      </c>
      <c r="K233" s="319">
        <f aca="true" t="shared" si="39" ref="K233:K238">H233/I233</f>
        <v>6.357957136342909</v>
      </c>
      <c r="L233" s="320">
        <v>6055992</v>
      </c>
      <c r="M233" s="162">
        <v>521768</v>
      </c>
      <c r="N233" s="375">
        <f t="shared" si="38"/>
        <v>11.606675763941062</v>
      </c>
      <c r="O233" s="297"/>
    </row>
    <row r="234" spans="1:15" ht="15">
      <c r="A234" s="223">
        <v>230</v>
      </c>
      <c r="B234" s="211" t="s">
        <v>29</v>
      </c>
      <c r="C234" s="161">
        <v>40494</v>
      </c>
      <c r="D234" s="232" t="s">
        <v>24</v>
      </c>
      <c r="E234" s="231">
        <v>144</v>
      </c>
      <c r="F234" s="231">
        <v>6</v>
      </c>
      <c r="G234" s="231">
        <v>10</v>
      </c>
      <c r="H234" s="188">
        <v>8265</v>
      </c>
      <c r="I234" s="176">
        <v>1244</v>
      </c>
      <c r="J234" s="163">
        <f t="shared" si="36"/>
        <v>207.33333333333334</v>
      </c>
      <c r="K234" s="189">
        <f t="shared" si="39"/>
        <v>6.643890675241158</v>
      </c>
      <c r="L234" s="190">
        <v>6066619</v>
      </c>
      <c r="M234" s="162">
        <v>523537</v>
      </c>
      <c r="N234" s="208">
        <f t="shared" si="38"/>
        <v>11.587755975222382</v>
      </c>
      <c r="O234" s="399"/>
    </row>
    <row r="235" spans="1:15" ht="15">
      <c r="A235" s="223">
        <v>231</v>
      </c>
      <c r="B235" s="374" t="s">
        <v>29</v>
      </c>
      <c r="C235" s="161">
        <v>40494</v>
      </c>
      <c r="D235" s="244" t="s">
        <v>24</v>
      </c>
      <c r="E235" s="243">
        <v>144</v>
      </c>
      <c r="F235" s="243">
        <v>3</v>
      </c>
      <c r="G235" s="243">
        <v>11</v>
      </c>
      <c r="H235" s="188">
        <v>2600</v>
      </c>
      <c r="I235" s="176">
        <v>454</v>
      </c>
      <c r="J235" s="163">
        <f t="shared" si="36"/>
        <v>151.33333333333334</v>
      </c>
      <c r="K235" s="189">
        <f t="shared" si="39"/>
        <v>5.726872246696035</v>
      </c>
      <c r="L235" s="190">
        <v>6069219</v>
      </c>
      <c r="M235" s="162">
        <v>523991</v>
      </c>
      <c r="N235" s="208">
        <f t="shared" si="38"/>
        <v>11.582677946758627</v>
      </c>
      <c r="O235" s="268"/>
    </row>
    <row r="236" spans="1:15" ht="15">
      <c r="A236" s="223">
        <v>232</v>
      </c>
      <c r="B236" s="207" t="s">
        <v>29</v>
      </c>
      <c r="C236" s="161">
        <v>40494</v>
      </c>
      <c r="D236" s="317" t="s">
        <v>24</v>
      </c>
      <c r="E236" s="243">
        <v>144</v>
      </c>
      <c r="F236" s="243">
        <v>3</v>
      </c>
      <c r="G236" s="243">
        <v>9</v>
      </c>
      <c r="H236" s="188">
        <v>2362</v>
      </c>
      <c r="I236" s="176">
        <v>525</v>
      </c>
      <c r="J236" s="163">
        <f t="shared" si="36"/>
        <v>175</v>
      </c>
      <c r="K236" s="189">
        <f t="shared" si="39"/>
        <v>4.499047619047619</v>
      </c>
      <c r="L236" s="190">
        <v>6058354</v>
      </c>
      <c r="M236" s="162">
        <v>522293</v>
      </c>
      <c r="N236" s="208">
        <f t="shared" si="38"/>
        <v>11.599531297566692</v>
      </c>
      <c r="O236" s="296"/>
    </row>
    <row r="237" spans="1:15" ht="15">
      <c r="A237" s="223">
        <v>233</v>
      </c>
      <c r="B237" s="211" t="s">
        <v>29</v>
      </c>
      <c r="C237" s="321">
        <v>40494</v>
      </c>
      <c r="D237" s="232" t="s">
        <v>24</v>
      </c>
      <c r="E237" s="231">
        <v>144</v>
      </c>
      <c r="F237" s="231">
        <v>1</v>
      </c>
      <c r="G237" s="231">
        <v>13</v>
      </c>
      <c r="H237" s="188">
        <v>2042</v>
      </c>
      <c r="I237" s="176">
        <v>495</v>
      </c>
      <c r="J237" s="163">
        <f t="shared" si="36"/>
        <v>495</v>
      </c>
      <c r="K237" s="189">
        <f t="shared" si="39"/>
        <v>4.125252525252526</v>
      </c>
      <c r="L237" s="190">
        <v>6072415</v>
      </c>
      <c r="M237" s="162">
        <v>524703</v>
      </c>
      <c r="N237" s="208">
        <f t="shared" si="38"/>
        <v>11.573051802638826</v>
      </c>
      <c r="O237" s="399"/>
    </row>
    <row r="238" spans="1:15" ht="15">
      <c r="A238" s="223">
        <v>234</v>
      </c>
      <c r="B238" s="207" t="s">
        <v>29</v>
      </c>
      <c r="C238" s="161">
        <v>40494</v>
      </c>
      <c r="D238" s="244" t="s">
        <v>24</v>
      </c>
      <c r="E238" s="243">
        <v>144</v>
      </c>
      <c r="F238" s="243">
        <v>1</v>
      </c>
      <c r="G238" s="243">
        <v>12</v>
      </c>
      <c r="H238" s="188">
        <v>1154</v>
      </c>
      <c r="I238" s="176">
        <v>217</v>
      </c>
      <c r="J238" s="163">
        <f t="shared" si="36"/>
        <v>217</v>
      </c>
      <c r="K238" s="189">
        <f t="shared" si="39"/>
        <v>5.317972350230415</v>
      </c>
      <c r="L238" s="190">
        <v>6070373</v>
      </c>
      <c r="M238" s="162">
        <v>524208</v>
      </c>
      <c r="N238" s="208">
        <f t="shared" si="38"/>
        <v>11.58008462289778</v>
      </c>
      <c r="O238" s="268"/>
    </row>
    <row r="239" spans="1:15" ht="15">
      <c r="A239" s="223">
        <v>235</v>
      </c>
      <c r="B239" s="377" t="s">
        <v>52</v>
      </c>
      <c r="C239" s="164">
        <v>40494</v>
      </c>
      <c r="D239" s="300" t="s">
        <v>23</v>
      </c>
      <c r="E239" s="241">
        <v>72</v>
      </c>
      <c r="F239" s="241">
        <v>2</v>
      </c>
      <c r="G239" s="241">
        <v>8</v>
      </c>
      <c r="H239" s="305">
        <v>1110</v>
      </c>
      <c r="I239" s="178">
        <v>180</v>
      </c>
      <c r="J239" s="165">
        <f t="shared" si="36"/>
        <v>90</v>
      </c>
      <c r="K239" s="312">
        <f>+H239/I239</f>
        <v>6.166666666666667</v>
      </c>
      <c r="L239" s="253">
        <v>906333</v>
      </c>
      <c r="M239" s="166">
        <v>84860</v>
      </c>
      <c r="N239" s="254">
        <f t="shared" si="38"/>
        <v>10.680332312043365</v>
      </c>
      <c r="O239" s="268">
        <v>1</v>
      </c>
    </row>
    <row r="240" spans="1:15" ht="15">
      <c r="A240" s="223">
        <v>236</v>
      </c>
      <c r="B240" s="209" t="s">
        <v>94</v>
      </c>
      <c r="C240" s="164">
        <v>40459</v>
      </c>
      <c r="D240" s="300" t="s">
        <v>23</v>
      </c>
      <c r="E240" s="241">
        <v>93</v>
      </c>
      <c r="F240" s="241">
        <v>1</v>
      </c>
      <c r="G240" s="241">
        <v>14</v>
      </c>
      <c r="H240" s="186">
        <v>2415</v>
      </c>
      <c r="I240" s="178">
        <v>875</v>
      </c>
      <c r="J240" s="165">
        <f t="shared" si="36"/>
        <v>875</v>
      </c>
      <c r="K240" s="200">
        <f>+H240/I240</f>
        <v>2.76</v>
      </c>
      <c r="L240" s="187">
        <v>1072374</v>
      </c>
      <c r="M240" s="165">
        <v>99383</v>
      </c>
      <c r="N240" s="206">
        <f t="shared" si="38"/>
        <v>10.790316251270339</v>
      </c>
      <c r="O240" s="426"/>
    </row>
    <row r="241" spans="1:15" ht="15">
      <c r="A241" s="223">
        <v>237</v>
      </c>
      <c r="B241" s="374" t="s">
        <v>59</v>
      </c>
      <c r="C241" s="161">
        <v>40529</v>
      </c>
      <c r="D241" s="317" t="s">
        <v>17</v>
      </c>
      <c r="E241" s="243">
        <v>134</v>
      </c>
      <c r="F241" s="243">
        <v>121</v>
      </c>
      <c r="G241" s="243">
        <v>3</v>
      </c>
      <c r="H241" s="325">
        <v>49789.5</v>
      </c>
      <c r="I241" s="181">
        <v>7079</v>
      </c>
      <c r="J241" s="168">
        <f aca="true" t="shared" si="40" ref="J241:J249">IF(H241&lt;&gt;0,I241/F241,"")</f>
        <v>58.50413223140496</v>
      </c>
      <c r="K241" s="326">
        <f aca="true" t="shared" si="41" ref="K241:K249">IF(H241&lt;&gt;0,H241/I241,"")</f>
        <v>7.0334086735414605</v>
      </c>
      <c r="L241" s="327">
        <f>244174+121219.5+H241</f>
        <v>415183</v>
      </c>
      <c r="M241" s="165">
        <f>29518+15718+I241</f>
        <v>52315</v>
      </c>
      <c r="N241" s="376">
        <f aca="true" t="shared" si="42" ref="N241:N249">IF(L241&lt;&gt;0,L241/M241,"")</f>
        <v>7.936213323138679</v>
      </c>
      <c r="O241" s="268"/>
    </row>
    <row r="242" spans="1:15" ht="15">
      <c r="A242" s="223">
        <v>238</v>
      </c>
      <c r="B242" s="207" t="s">
        <v>92</v>
      </c>
      <c r="C242" s="161">
        <v>40529</v>
      </c>
      <c r="D242" s="244" t="s">
        <v>17</v>
      </c>
      <c r="E242" s="243">
        <v>134</v>
      </c>
      <c r="F242" s="243">
        <v>2</v>
      </c>
      <c r="G242" s="243">
        <v>10</v>
      </c>
      <c r="H242" s="197">
        <v>4630</v>
      </c>
      <c r="I242" s="181">
        <v>683</v>
      </c>
      <c r="J242" s="168">
        <f t="shared" si="40"/>
        <v>341.5</v>
      </c>
      <c r="K242" s="195">
        <f t="shared" si="41"/>
        <v>6.77891654465593</v>
      </c>
      <c r="L242" s="198">
        <f>415183+3929+3246+2363+1074+230+2072+4630</f>
        <v>432727</v>
      </c>
      <c r="M242" s="165">
        <f>52315+638+476+361+299+38+414+683</f>
        <v>55224</v>
      </c>
      <c r="N242" s="212">
        <f t="shared" si="42"/>
        <v>7.8358503549181515</v>
      </c>
      <c r="O242" s="296">
        <v>1</v>
      </c>
    </row>
    <row r="243" spans="1:15" ht="15">
      <c r="A243" s="223">
        <v>239</v>
      </c>
      <c r="B243" s="207" t="s">
        <v>92</v>
      </c>
      <c r="C243" s="161">
        <v>40529</v>
      </c>
      <c r="D243" s="317" t="s">
        <v>17</v>
      </c>
      <c r="E243" s="243">
        <v>134</v>
      </c>
      <c r="F243" s="243">
        <v>12</v>
      </c>
      <c r="G243" s="243">
        <v>4</v>
      </c>
      <c r="H243" s="197">
        <v>3929</v>
      </c>
      <c r="I243" s="181">
        <v>638</v>
      </c>
      <c r="J243" s="168">
        <f t="shared" si="40"/>
        <v>53.166666666666664</v>
      </c>
      <c r="K243" s="195">
        <f t="shared" si="41"/>
        <v>6.158307210031348</v>
      </c>
      <c r="L243" s="198">
        <f>415183+3929</f>
        <v>419112</v>
      </c>
      <c r="M243" s="165">
        <f>52315+638</f>
        <v>52953</v>
      </c>
      <c r="N243" s="212">
        <f t="shared" si="42"/>
        <v>7.914792363038921</v>
      </c>
      <c r="O243" s="296">
        <v>1</v>
      </c>
    </row>
    <row r="244" spans="1:15" ht="15">
      <c r="A244" s="223">
        <v>240</v>
      </c>
      <c r="B244" s="211" t="s">
        <v>92</v>
      </c>
      <c r="C244" s="161">
        <v>40529</v>
      </c>
      <c r="D244" s="232" t="s">
        <v>17</v>
      </c>
      <c r="E244" s="231">
        <v>134</v>
      </c>
      <c r="F244" s="231">
        <v>8</v>
      </c>
      <c r="G244" s="231">
        <v>5</v>
      </c>
      <c r="H244" s="197">
        <v>3246</v>
      </c>
      <c r="I244" s="181">
        <v>476</v>
      </c>
      <c r="J244" s="168">
        <f t="shared" si="40"/>
        <v>59.5</v>
      </c>
      <c r="K244" s="195">
        <f t="shared" si="41"/>
        <v>6.819327731092437</v>
      </c>
      <c r="L244" s="198">
        <f>415183+3929+3246</f>
        <v>422358</v>
      </c>
      <c r="M244" s="165">
        <f>52315+638+476</f>
        <v>53429</v>
      </c>
      <c r="N244" s="212">
        <f t="shared" si="42"/>
        <v>7.9050328473301015</v>
      </c>
      <c r="O244" s="399">
        <v>1</v>
      </c>
    </row>
    <row r="245" spans="1:15" ht="15">
      <c r="A245" s="223">
        <v>241</v>
      </c>
      <c r="B245" s="374" t="s">
        <v>59</v>
      </c>
      <c r="C245" s="161">
        <v>40529</v>
      </c>
      <c r="D245" s="244" t="s">
        <v>17</v>
      </c>
      <c r="E245" s="243">
        <v>134</v>
      </c>
      <c r="F245" s="243">
        <v>6</v>
      </c>
      <c r="G245" s="243">
        <v>6</v>
      </c>
      <c r="H245" s="197">
        <v>2363</v>
      </c>
      <c r="I245" s="181">
        <v>361</v>
      </c>
      <c r="J245" s="168">
        <f t="shared" si="40"/>
        <v>60.166666666666664</v>
      </c>
      <c r="K245" s="195">
        <f t="shared" si="41"/>
        <v>6.545706371191136</v>
      </c>
      <c r="L245" s="198">
        <f>415183+3929+3246+2363</f>
        <v>424721</v>
      </c>
      <c r="M245" s="165">
        <f>52315+638+476+361</f>
        <v>53790</v>
      </c>
      <c r="N245" s="212">
        <f t="shared" si="42"/>
        <v>7.8959100204498975</v>
      </c>
      <c r="O245" s="296">
        <v>1</v>
      </c>
    </row>
    <row r="246" spans="1:15" ht="15">
      <c r="A246" s="223">
        <v>242</v>
      </c>
      <c r="B246" s="211" t="s">
        <v>59</v>
      </c>
      <c r="C246" s="321">
        <v>40529</v>
      </c>
      <c r="D246" s="232" t="s">
        <v>17</v>
      </c>
      <c r="E246" s="231">
        <v>134</v>
      </c>
      <c r="F246" s="231">
        <v>2</v>
      </c>
      <c r="G246" s="231">
        <v>9</v>
      </c>
      <c r="H246" s="325">
        <v>2072</v>
      </c>
      <c r="I246" s="344">
        <v>414</v>
      </c>
      <c r="J246" s="345">
        <f t="shared" si="40"/>
        <v>207</v>
      </c>
      <c r="K246" s="326">
        <f t="shared" si="41"/>
        <v>5.004830917874396</v>
      </c>
      <c r="L246" s="327">
        <f>415183+3929+3246+2363+1074+230+2072</f>
        <v>428097</v>
      </c>
      <c r="M246" s="265">
        <f>52315+638+476+361+299+38+414</f>
        <v>54541</v>
      </c>
      <c r="N246" s="376">
        <f t="shared" si="42"/>
        <v>7.84908600869071</v>
      </c>
      <c r="O246" s="399">
        <v>1</v>
      </c>
    </row>
    <row r="247" spans="1:15" ht="15">
      <c r="A247" s="223">
        <v>243</v>
      </c>
      <c r="B247" s="256" t="s">
        <v>59</v>
      </c>
      <c r="C247" s="282">
        <v>40529</v>
      </c>
      <c r="D247" s="278" t="s">
        <v>17</v>
      </c>
      <c r="E247" s="279">
        <v>134</v>
      </c>
      <c r="F247" s="279">
        <v>1</v>
      </c>
      <c r="G247" s="279">
        <v>11</v>
      </c>
      <c r="H247" s="197">
        <v>1180</v>
      </c>
      <c r="I247" s="181">
        <v>192</v>
      </c>
      <c r="J247" s="280">
        <f t="shared" si="40"/>
        <v>192</v>
      </c>
      <c r="K247" s="281">
        <f t="shared" si="41"/>
        <v>6.145833333333333</v>
      </c>
      <c r="L247" s="198">
        <f>415183+3929+3246+2363+1074+230+2072+4630+1180</f>
        <v>433907</v>
      </c>
      <c r="M247" s="165">
        <f>52315+638+476+361+299+38+414+683+192</f>
        <v>55416</v>
      </c>
      <c r="N247" s="285">
        <f t="shared" si="42"/>
        <v>7.829994947307637</v>
      </c>
      <c r="O247" s="268">
        <v>1</v>
      </c>
    </row>
    <row r="248" spans="1:15" ht="15">
      <c r="A248" s="223">
        <v>244</v>
      </c>
      <c r="B248" s="256" t="s">
        <v>59</v>
      </c>
      <c r="C248" s="161">
        <v>40529</v>
      </c>
      <c r="D248" s="244" t="s">
        <v>17</v>
      </c>
      <c r="E248" s="243">
        <v>134</v>
      </c>
      <c r="F248" s="243">
        <v>6</v>
      </c>
      <c r="G248" s="243">
        <v>6</v>
      </c>
      <c r="H248" s="197">
        <v>1074</v>
      </c>
      <c r="I248" s="181">
        <v>299</v>
      </c>
      <c r="J248" s="168">
        <f t="shared" si="40"/>
        <v>49.833333333333336</v>
      </c>
      <c r="K248" s="195">
        <f t="shared" si="41"/>
        <v>3.591973244147157</v>
      </c>
      <c r="L248" s="198">
        <f>415183+3929+3246+2363+1074</f>
        <v>425795</v>
      </c>
      <c r="M248" s="165">
        <f>52315+638+476+361+299</f>
        <v>54089</v>
      </c>
      <c r="N248" s="212">
        <f t="shared" si="42"/>
        <v>7.872118175599475</v>
      </c>
      <c r="O248" s="414">
        <v>1</v>
      </c>
    </row>
    <row r="249" spans="1:15" ht="15">
      <c r="A249" s="223">
        <v>245</v>
      </c>
      <c r="B249" s="211" t="s">
        <v>92</v>
      </c>
      <c r="C249" s="321">
        <v>40529</v>
      </c>
      <c r="D249" s="232" t="s">
        <v>17</v>
      </c>
      <c r="E249" s="231">
        <v>134</v>
      </c>
      <c r="F249" s="231">
        <v>1</v>
      </c>
      <c r="G249" s="231">
        <v>8</v>
      </c>
      <c r="H249" s="197">
        <v>230</v>
      </c>
      <c r="I249" s="181">
        <v>38</v>
      </c>
      <c r="J249" s="168">
        <f t="shared" si="40"/>
        <v>38</v>
      </c>
      <c r="K249" s="195">
        <f t="shared" si="41"/>
        <v>6.052631578947368</v>
      </c>
      <c r="L249" s="198">
        <f>415183+3929+3246+2363+1074+230</f>
        <v>426025</v>
      </c>
      <c r="M249" s="165">
        <f>52315+638+476+361+299+38</f>
        <v>54127</v>
      </c>
      <c r="N249" s="212">
        <f t="shared" si="42"/>
        <v>7.870840800339941</v>
      </c>
      <c r="O249" s="399">
        <v>1</v>
      </c>
    </row>
    <row r="250" spans="1:15" ht="15">
      <c r="A250" s="223">
        <v>246</v>
      </c>
      <c r="B250" s="240" t="s">
        <v>159</v>
      </c>
      <c r="C250" s="257">
        <v>40053</v>
      </c>
      <c r="D250" s="229" t="s">
        <v>118</v>
      </c>
      <c r="E250" s="230">
        <v>14</v>
      </c>
      <c r="F250" s="230">
        <v>1</v>
      </c>
      <c r="G250" s="230">
        <v>11</v>
      </c>
      <c r="H250" s="191">
        <v>952</v>
      </c>
      <c r="I250" s="177">
        <v>238</v>
      </c>
      <c r="J250" s="170">
        <f>(I250/F250)</f>
        <v>238</v>
      </c>
      <c r="K250" s="192">
        <f>H250/I250</f>
        <v>4</v>
      </c>
      <c r="L250" s="193">
        <f>46744+27773.5+29652+15092+1850+3126+1717.5+468+83+54+952</f>
        <v>127512</v>
      </c>
      <c r="M250" s="169">
        <f>3724+2772+2752+1903+308+472+380+135+20+18+238</f>
        <v>12722</v>
      </c>
      <c r="N250" s="210">
        <f>L250/M250</f>
        <v>10.022952365980192</v>
      </c>
      <c r="O250" s="399"/>
    </row>
    <row r="251" spans="1:15" ht="15">
      <c r="A251" s="223">
        <v>247</v>
      </c>
      <c r="B251" s="240" t="s">
        <v>159</v>
      </c>
      <c r="C251" s="257">
        <v>40053</v>
      </c>
      <c r="D251" s="229" t="s">
        <v>118</v>
      </c>
      <c r="E251" s="230">
        <v>14</v>
      </c>
      <c r="F251" s="230">
        <v>1</v>
      </c>
      <c r="G251" s="230">
        <v>12</v>
      </c>
      <c r="H251" s="304">
        <v>236</v>
      </c>
      <c r="I251" s="315">
        <v>59</v>
      </c>
      <c r="J251" s="316">
        <f>(I251/F251)</f>
        <v>59</v>
      </c>
      <c r="K251" s="311">
        <f>H251/I251</f>
        <v>4</v>
      </c>
      <c r="L251" s="184">
        <f>46744+27773.5+29652+15092+1850+3126+1717.5+468+83+54+952+236</f>
        <v>127748</v>
      </c>
      <c r="M251" s="266">
        <f>3724+2772+2752+1903+308+472+380+135+20+18+238+59</f>
        <v>12781</v>
      </c>
      <c r="N251" s="185">
        <f>L251/M251</f>
        <v>9.99514904937016</v>
      </c>
      <c r="O251" s="399"/>
    </row>
    <row r="252" spans="1:15" ht="15">
      <c r="A252" s="223">
        <v>248</v>
      </c>
      <c r="B252" s="379" t="s">
        <v>151</v>
      </c>
      <c r="C252" s="161">
        <v>40529</v>
      </c>
      <c r="D252" s="346" t="s">
        <v>27</v>
      </c>
      <c r="E252" s="231">
        <v>32</v>
      </c>
      <c r="F252" s="231">
        <v>5</v>
      </c>
      <c r="G252" s="231">
        <v>3</v>
      </c>
      <c r="H252" s="347">
        <v>964</v>
      </c>
      <c r="I252" s="180">
        <v>140</v>
      </c>
      <c r="J252" s="168">
        <f>+I252/F252</f>
        <v>28</v>
      </c>
      <c r="K252" s="326">
        <f>+H252/I252</f>
        <v>6.885714285714286</v>
      </c>
      <c r="L252" s="348">
        <v>18563</v>
      </c>
      <c r="M252" s="167">
        <v>1767</v>
      </c>
      <c r="N252" s="376">
        <f>+L252/M252</f>
        <v>10.505376344086022</v>
      </c>
      <c r="O252" s="297"/>
    </row>
    <row r="253" spans="1:15" ht="15">
      <c r="A253" s="223">
        <v>249</v>
      </c>
      <c r="B253" s="211" t="s">
        <v>101</v>
      </c>
      <c r="C253" s="161">
        <v>40529</v>
      </c>
      <c r="D253" s="346" t="s">
        <v>27</v>
      </c>
      <c r="E253" s="231">
        <v>32</v>
      </c>
      <c r="F253" s="231">
        <v>1</v>
      </c>
      <c r="G253" s="231">
        <v>4</v>
      </c>
      <c r="H253" s="194">
        <v>523</v>
      </c>
      <c r="I253" s="180">
        <v>92</v>
      </c>
      <c r="J253" s="168">
        <f>+I253/F253</f>
        <v>92</v>
      </c>
      <c r="K253" s="195">
        <f>+H253/I253</f>
        <v>5.684782608695652</v>
      </c>
      <c r="L253" s="196">
        <v>19085</v>
      </c>
      <c r="M253" s="167">
        <v>1859</v>
      </c>
      <c r="N253" s="212">
        <f>+L253/M253</f>
        <v>10.266272189349113</v>
      </c>
      <c r="O253" s="296">
        <v>1</v>
      </c>
    </row>
    <row r="254" spans="1:15" ht="15">
      <c r="A254" s="223">
        <v>250</v>
      </c>
      <c r="B254" s="371" t="s">
        <v>8</v>
      </c>
      <c r="C254" s="164">
        <v>40347</v>
      </c>
      <c r="D254" s="229" t="s">
        <v>118</v>
      </c>
      <c r="E254" s="241">
        <v>2</v>
      </c>
      <c r="F254" s="241">
        <v>1</v>
      </c>
      <c r="G254" s="241">
        <v>20</v>
      </c>
      <c r="H254" s="304">
        <v>713</v>
      </c>
      <c r="I254" s="177">
        <v>178</v>
      </c>
      <c r="J254" s="170">
        <f>(I254/F254)</f>
        <v>178</v>
      </c>
      <c r="K254" s="311">
        <f>H254/I254</f>
        <v>4.00561797752809</v>
      </c>
      <c r="L254" s="184">
        <f>15693+762+1031+1133+707+492+1323.5+1397+447+357+524+229+713</f>
        <v>24808.5</v>
      </c>
      <c r="M254" s="169">
        <f>1559+119+194+179+86+57+150+195+165+58+85+48+178</f>
        <v>3073</v>
      </c>
      <c r="N254" s="185">
        <f>L254/M254</f>
        <v>8.073055645948584</v>
      </c>
      <c r="O254" s="268">
        <v>1</v>
      </c>
    </row>
    <row r="255" spans="1:15" ht="15">
      <c r="A255" s="223">
        <v>251</v>
      </c>
      <c r="B255" s="377" t="s">
        <v>71</v>
      </c>
      <c r="C255" s="164">
        <v>40536</v>
      </c>
      <c r="D255" s="300" t="s">
        <v>23</v>
      </c>
      <c r="E255" s="241">
        <v>112</v>
      </c>
      <c r="F255" s="241">
        <v>116</v>
      </c>
      <c r="G255" s="241">
        <v>2</v>
      </c>
      <c r="H255" s="305">
        <v>694227</v>
      </c>
      <c r="I255" s="178">
        <v>58647</v>
      </c>
      <c r="J255" s="165">
        <f aca="true" t="shared" si="43" ref="J255:J265">I255/F255</f>
        <v>505.57758620689657</v>
      </c>
      <c r="K255" s="312">
        <f aca="true" t="shared" si="44" ref="K255:K265">+H255/I255</f>
        <v>11.837382986342012</v>
      </c>
      <c r="L255" s="253">
        <v>1663782</v>
      </c>
      <c r="M255" s="166">
        <v>141056</v>
      </c>
      <c r="N255" s="254">
        <f aca="true" t="shared" si="45" ref="N255:N265">+L255/M255</f>
        <v>11.795187726860254</v>
      </c>
      <c r="O255" s="296"/>
    </row>
    <row r="256" spans="1:15" ht="15">
      <c r="A256" s="223">
        <v>252</v>
      </c>
      <c r="B256" s="209" t="s">
        <v>71</v>
      </c>
      <c r="C256" s="164">
        <v>40536</v>
      </c>
      <c r="D256" s="300" t="s">
        <v>23</v>
      </c>
      <c r="E256" s="241">
        <v>112</v>
      </c>
      <c r="F256" s="241">
        <v>114</v>
      </c>
      <c r="G256" s="241">
        <v>3</v>
      </c>
      <c r="H256" s="186">
        <v>439081</v>
      </c>
      <c r="I256" s="178">
        <v>38093</v>
      </c>
      <c r="J256" s="165">
        <f t="shared" si="43"/>
        <v>334.14912280701753</v>
      </c>
      <c r="K256" s="200">
        <f t="shared" si="44"/>
        <v>11.526553435014307</v>
      </c>
      <c r="L256" s="187">
        <v>2102863</v>
      </c>
      <c r="M256" s="166">
        <v>179149</v>
      </c>
      <c r="N256" s="206">
        <f t="shared" si="45"/>
        <v>11.738067195462994</v>
      </c>
      <c r="O256" s="426"/>
    </row>
    <row r="257" spans="1:15" ht="15">
      <c r="A257" s="223">
        <v>253</v>
      </c>
      <c r="B257" s="240" t="s">
        <v>71</v>
      </c>
      <c r="C257" s="164">
        <v>40536</v>
      </c>
      <c r="D257" s="229" t="s">
        <v>23</v>
      </c>
      <c r="E257" s="230">
        <v>112</v>
      </c>
      <c r="F257" s="230">
        <v>67</v>
      </c>
      <c r="G257" s="230">
        <v>7</v>
      </c>
      <c r="H257" s="186">
        <v>251883</v>
      </c>
      <c r="I257" s="178">
        <v>23368</v>
      </c>
      <c r="J257" s="165">
        <f t="shared" si="43"/>
        <v>348.7761194029851</v>
      </c>
      <c r="K257" s="200">
        <f t="shared" si="44"/>
        <v>10.778971242725094</v>
      </c>
      <c r="L257" s="187">
        <v>2567209</v>
      </c>
      <c r="M257" s="166">
        <v>225627</v>
      </c>
      <c r="N257" s="206">
        <f t="shared" si="45"/>
        <v>11.378110775749356</v>
      </c>
      <c r="O257" s="415"/>
    </row>
    <row r="258" spans="1:15" ht="15">
      <c r="A258" s="223">
        <v>254</v>
      </c>
      <c r="B258" s="238" t="s">
        <v>71</v>
      </c>
      <c r="C258" s="224">
        <v>40536</v>
      </c>
      <c r="D258" s="225" t="s">
        <v>23</v>
      </c>
      <c r="E258" s="226">
        <v>112</v>
      </c>
      <c r="F258" s="226">
        <v>51</v>
      </c>
      <c r="G258" s="226">
        <v>4</v>
      </c>
      <c r="H258" s="302">
        <v>136869</v>
      </c>
      <c r="I258" s="306">
        <v>12796</v>
      </c>
      <c r="J258" s="228">
        <f t="shared" si="43"/>
        <v>250.90196078431373</v>
      </c>
      <c r="K258" s="309">
        <f t="shared" si="44"/>
        <v>10.696233197874335</v>
      </c>
      <c r="L258" s="227">
        <v>2239732</v>
      </c>
      <c r="M258" s="228">
        <v>191945</v>
      </c>
      <c r="N258" s="239">
        <f t="shared" si="45"/>
        <v>11.668613404881606</v>
      </c>
      <c r="O258" s="417"/>
    </row>
    <row r="259" spans="1:15" ht="15">
      <c r="A259" s="223">
        <v>255</v>
      </c>
      <c r="B259" s="238" t="s">
        <v>71</v>
      </c>
      <c r="C259" s="224">
        <v>40536</v>
      </c>
      <c r="D259" s="225" t="s">
        <v>23</v>
      </c>
      <c r="E259" s="226">
        <v>112</v>
      </c>
      <c r="F259" s="226">
        <v>76</v>
      </c>
      <c r="G259" s="226">
        <v>8</v>
      </c>
      <c r="H259" s="302">
        <v>133175</v>
      </c>
      <c r="I259" s="306">
        <v>12385</v>
      </c>
      <c r="J259" s="228">
        <f t="shared" si="43"/>
        <v>162.96052631578948</v>
      </c>
      <c r="K259" s="309">
        <f t="shared" si="44"/>
        <v>10.752926927735164</v>
      </c>
      <c r="L259" s="227">
        <v>2700384</v>
      </c>
      <c r="M259" s="228">
        <v>238012</v>
      </c>
      <c r="N259" s="239">
        <f t="shared" si="45"/>
        <v>11.345579214493387</v>
      </c>
      <c r="O259" s="414"/>
    </row>
    <row r="260" spans="1:15" ht="15">
      <c r="A260" s="223">
        <v>256</v>
      </c>
      <c r="B260" s="209" t="s">
        <v>71</v>
      </c>
      <c r="C260" s="164">
        <v>40536</v>
      </c>
      <c r="D260" s="290" t="s">
        <v>23</v>
      </c>
      <c r="E260" s="241">
        <v>112</v>
      </c>
      <c r="F260" s="241">
        <v>16</v>
      </c>
      <c r="G260" s="241">
        <v>6</v>
      </c>
      <c r="H260" s="186">
        <v>40300</v>
      </c>
      <c r="I260" s="178">
        <v>4735</v>
      </c>
      <c r="J260" s="165">
        <f t="shared" si="43"/>
        <v>295.9375</v>
      </c>
      <c r="K260" s="200">
        <f t="shared" si="44"/>
        <v>8.511087645195353</v>
      </c>
      <c r="L260" s="187">
        <v>2315326</v>
      </c>
      <c r="M260" s="166">
        <v>202259</v>
      </c>
      <c r="N260" s="208">
        <f t="shared" si="45"/>
        <v>11.447332380759324</v>
      </c>
      <c r="O260" s="268"/>
    </row>
    <row r="261" spans="1:15" ht="15">
      <c r="A261" s="223">
        <v>257</v>
      </c>
      <c r="B261" s="377" t="s">
        <v>71</v>
      </c>
      <c r="C261" s="164">
        <v>40536</v>
      </c>
      <c r="D261" s="290" t="s">
        <v>23</v>
      </c>
      <c r="E261" s="241">
        <v>112</v>
      </c>
      <c r="F261" s="241">
        <v>26</v>
      </c>
      <c r="G261" s="241">
        <v>5</v>
      </c>
      <c r="H261" s="186">
        <v>35294</v>
      </c>
      <c r="I261" s="178">
        <v>5579</v>
      </c>
      <c r="J261" s="165">
        <f t="shared" si="43"/>
        <v>214.57692307692307</v>
      </c>
      <c r="K261" s="200">
        <f t="shared" si="44"/>
        <v>6.3262233375156836</v>
      </c>
      <c r="L261" s="187">
        <v>2275026</v>
      </c>
      <c r="M261" s="166">
        <v>197524</v>
      </c>
      <c r="N261" s="206">
        <f t="shared" si="45"/>
        <v>11.51771936574796</v>
      </c>
      <c r="O261" s="426"/>
    </row>
    <row r="262" spans="1:15" ht="15">
      <c r="A262" s="223">
        <v>258</v>
      </c>
      <c r="B262" s="240" t="s">
        <v>71</v>
      </c>
      <c r="C262" s="257">
        <v>40536</v>
      </c>
      <c r="D262" s="229" t="s">
        <v>23</v>
      </c>
      <c r="E262" s="230">
        <v>112</v>
      </c>
      <c r="F262" s="230">
        <v>21</v>
      </c>
      <c r="G262" s="230">
        <v>9</v>
      </c>
      <c r="H262" s="186">
        <v>25605</v>
      </c>
      <c r="I262" s="178">
        <v>2458</v>
      </c>
      <c r="J262" s="165">
        <f t="shared" si="43"/>
        <v>117.04761904761905</v>
      </c>
      <c r="K262" s="200">
        <f t="shared" si="44"/>
        <v>10.417005695687552</v>
      </c>
      <c r="L262" s="187">
        <v>2725989</v>
      </c>
      <c r="M262" s="166">
        <v>240471</v>
      </c>
      <c r="N262" s="206">
        <f t="shared" si="45"/>
        <v>11.33604052047856</v>
      </c>
      <c r="O262" s="399"/>
    </row>
    <row r="263" spans="1:15" ht="15">
      <c r="A263" s="223">
        <v>259</v>
      </c>
      <c r="B263" s="240" t="s">
        <v>71</v>
      </c>
      <c r="C263" s="257">
        <v>40536</v>
      </c>
      <c r="D263" s="229" t="s">
        <v>23</v>
      </c>
      <c r="E263" s="230">
        <v>112</v>
      </c>
      <c r="F263" s="230">
        <v>15</v>
      </c>
      <c r="G263" s="230">
        <v>10</v>
      </c>
      <c r="H263" s="305">
        <v>6766</v>
      </c>
      <c r="I263" s="355">
        <v>855</v>
      </c>
      <c r="J263" s="265">
        <f t="shared" si="43"/>
        <v>57</v>
      </c>
      <c r="K263" s="312">
        <f t="shared" si="44"/>
        <v>7.913450292397661</v>
      </c>
      <c r="L263" s="253">
        <v>2732755</v>
      </c>
      <c r="M263" s="265">
        <v>241326</v>
      </c>
      <c r="N263" s="254">
        <f t="shared" si="45"/>
        <v>11.323914538839578</v>
      </c>
      <c r="O263" s="399"/>
    </row>
    <row r="264" spans="1:15" ht="15">
      <c r="A264" s="223">
        <v>260</v>
      </c>
      <c r="B264" s="209" t="s">
        <v>71</v>
      </c>
      <c r="C264" s="164">
        <v>40536</v>
      </c>
      <c r="D264" s="290" t="s">
        <v>23</v>
      </c>
      <c r="E264" s="241">
        <v>112</v>
      </c>
      <c r="F264" s="241">
        <v>11</v>
      </c>
      <c r="G264" s="241">
        <v>11</v>
      </c>
      <c r="H264" s="186">
        <v>4094</v>
      </c>
      <c r="I264" s="178">
        <v>695</v>
      </c>
      <c r="J264" s="165">
        <f t="shared" si="43"/>
        <v>63.18181818181818</v>
      </c>
      <c r="K264" s="200">
        <f t="shared" si="44"/>
        <v>5.890647482014389</v>
      </c>
      <c r="L264" s="187">
        <v>2736849</v>
      </c>
      <c r="M264" s="166">
        <v>242021</v>
      </c>
      <c r="N264" s="206">
        <f t="shared" si="45"/>
        <v>11.30831208862041</v>
      </c>
      <c r="O264" s="426"/>
    </row>
    <row r="265" spans="1:15" ht="15">
      <c r="A265" s="223">
        <v>261</v>
      </c>
      <c r="B265" s="283" t="s">
        <v>71</v>
      </c>
      <c r="C265" s="269">
        <v>40536</v>
      </c>
      <c r="D265" s="270" t="s">
        <v>23</v>
      </c>
      <c r="E265" s="271">
        <v>112</v>
      </c>
      <c r="F265" s="271">
        <v>7</v>
      </c>
      <c r="G265" s="271">
        <v>12</v>
      </c>
      <c r="H265" s="272">
        <v>3805</v>
      </c>
      <c r="I265" s="273">
        <v>818</v>
      </c>
      <c r="J265" s="274">
        <f t="shared" si="43"/>
        <v>116.85714285714286</v>
      </c>
      <c r="K265" s="275">
        <f t="shared" si="44"/>
        <v>4.65158924205379</v>
      </c>
      <c r="L265" s="276">
        <v>2740654</v>
      </c>
      <c r="M265" s="277">
        <v>242839</v>
      </c>
      <c r="N265" s="284">
        <f t="shared" si="45"/>
        <v>11.28588900464917</v>
      </c>
      <c r="O265" s="268"/>
    </row>
    <row r="266" spans="1:15" ht="15">
      <c r="A266" s="223">
        <v>262</v>
      </c>
      <c r="B266" s="458" t="s">
        <v>71</v>
      </c>
      <c r="C266" s="440">
        <v>40536</v>
      </c>
      <c r="D266" s="441" t="s">
        <v>23</v>
      </c>
      <c r="E266" s="442">
        <v>112</v>
      </c>
      <c r="F266" s="442">
        <v>4</v>
      </c>
      <c r="G266" s="442">
        <v>16</v>
      </c>
      <c r="H266" s="443">
        <v>2799</v>
      </c>
      <c r="I266" s="444">
        <v>759</v>
      </c>
      <c r="J266" s="163">
        <v>189.75</v>
      </c>
      <c r="K266" s="189">
        <v>3.6877470355731226</v>
      </c>
      <c r="L266" s="445">
        <v>2749328</v>
      </c>
      <c r="M266" s="446">
        <v>245013</v>
      </c>
      <c r="N266" s="459">
        <v>11.221151530735105</v>
      </c>
      <c r="O266" s="484"/>
    </row>
    <row r="267" spans="1:15" ht="15">
      <c r="A267" s="223">
        <v>263</v>
      </c>
      <c r="B267" s="209" t="s">
        <v>71</v>
      </c>
      <c r="C267" s="164">
        <v>40536</v>
      </c>
      <c r="D267" s="290" t="s">
        <v>23</v>
      </c>
      <c r="E267" s="241">
        <v>112</v>
      </c>
      <c r="F267" s="241">
        <v>4</v>
      </c>
      <c r="G267" s="241">
        <v>13</v>
      </c>
      <c r="H267" s="186">
        <v>2777</v>
      </c>
      <c r="I267" s="178">
        <v>596</v>
      </c>
      <c r="J267" s="165">
        <f>I267/F267</f>
        <v>149</v>
      </c>
      <c r="K267" s="200">
        <f>+H267/I267</f>
        <v>4.659395973154362</v>
      </c>
      <c r="L267" s="187">
        <v>2743431</v>
      </c>
      <c r="M267" s="166">
        <v>243435</v>
      </c>
      <c r="N267" s="206">
        <f>+L267/M267</f>
        <v>11.269665413765482</v>
      </c>
      <c r="O267" s="426"/>
    </row>
    <row r="268" spans="1:15" ht="15">
      <c r="A268" s="223">
        <v>264</v>
      </c>
      <c r="B268" s="240" t="s">
        <v>71</v>
      </c>
      <c r="C268" s="400">
        <v>40536</v>
      </c>
      <c r="D268" s="229" t="s">
        <v>23</v>
      </c>
      <c r="E268" s="230">
        <v>112</v>
      </c>
      <c r="F268" s="230">
        <v>3</v>
      </c>
      <c r="G268" s="230">
        <v>14</v>
      </c>
      <c r="H268" s="186">
        <v>1828</v>
      </c>
      <c r="I268" s="178">
        <v>458</v>
      </c>
      <c r="J268" s="165">
        <f>I268/F268</f>
        <v>152.66666666666666</v>
      </c>
      <c r="K268" s="404">
        <f>+H268/I268</f>
        <v>3.9912663755458517</v>
      </c>
      <c r="L268" s="187">
        <v>2745259</v>
      </c>
      <c r="M268" s="166">
        <v>243893</v>
      </c>
      <c r="N268" s="408">
        <f>+L268/M268</f>
        <v>11.255997507103524</v>
      </c>
      <c r="O268" s="399"/>
    </row>
    <row r="269" spans="1:15" ht="15">
      <c r="A269" s="223">
        <v>265</v>
      </c>
      <c r="B269" s="238" t="s">
        <v>71</v>
      </c>
      <c r="C269" s="224">
        <v>40536</v>
      </c>
      <c r="D269" s="225" t="s">
        <v>23</v>
      </c>
      <c r="E269" s="226">
        <v>112</v>
      </c>
      <c r="F269" s="226">
        <v>2</v>
      </c>
      <c r="G269" s="226">
        <v>15</v>
      </c>
      <c r="H269" s="302">
        <v>1270</v>
      </c>
      <c r="I269" s="306">
        <v>361</v>
      </c>
      <c r="J269" s="228">
        <f>I269/F269</f>
        <v>180.5</v>
      </c>
      <c r="K269" s="309">
        <f>+H269/I269</f>
        <v>3.518005540166205</v>
      </c>
      <c r="L269" s="227">
        <v>2746529</v>
      </c>
      <c r="M269" s="228">
        <v>244254</v>
      </c>
      <c r="N269" s="239">
        <f>+L269/M269</f>
        <v>11.244560989789317</v>
      </c>
      <c r="O269" s="423"/>
    </row>
    <row r="270" spans="1:15" ht="15">
      <c r="A270" s="223">
        <v>266</v>
      </c>
      <c r="B270" s="205" t="s">
        <v>71</v>
      </c>
      <c r="C270" s="164">
        <v>40536</v>
      </c>
      <c r="D270" s="290" t="s">
        <v>23</v>
      </c>
      <c r="E270" s="241">
        <v>112</v>
      </c>
      <c r="F270" s="241">
        <v>3</v>
      </c>
      <c r="G270" s="241">
        <v>17</v>
      </c>
      <c r="H270" s="186">
        <v>5237</v>
      </c>
      <c r="I270" s="178">
        <v>1250</v>
      </c>
      <c r="J270" s="165">
        <f>I270/F270</f>
        <v>416.6666666666667</v>
      </c>
      <c r="K270" s="200">
        <f>+H270/I270</f>
        <v>4.1896</v>
      </c>
      <c r="L270" s="187">
        <v>2754565</v>
      </c>
      <c r="M270" s="165">
        <v>246263</v>
      </c>
      <c r="N270" s="206">
        <f>+L270/M270</f>
        <v>11.185460259965971</v>
      </c>
      <c r="O270" s="542"/>
    </row>
    <row r="271" spans="1:15" ht="15">
      <c r="A271" s="223">
        <v>267</v>
      </c>
      <c r="B271" s="240" t="s">
        <v>203</v>
      </c>
      <c r="C271" s="400">
        <v>40319</v>
      </c>
      <c r="D271" s="229" t="s">
        <v>212</v>
      </c>
      <c r="E271" s="230">
        <v>2</v>
      </c>
      <c r="F271" s="230">
        <v>1</v>
      </c>
      <c r="G271" s="230">
        <v>17</v>
      </c>
      <c r="H271" s="191">
        <v>2970</v>
      </c>
      <c r="I271" s="177">
        <v>2755</v>
      </c>
      <c r="J271" s="170">
        <f>(I271/F271)</f>
        <v>2755</v>
      </c>
      <c r="K271" s="401">
        <f>H271/I271</f>
        <v>1.0780399274047188</v>
      </c>
      <c r="L271" s="193">
        <f>4143+1077+726+775+2269+1451+561+189+370+613+538+181+79+246+238+1188+2970</f>
        <v>17614</v>
      </c>
      <c r="M271" s="169">
        <f>330+90+108+118+312+209+62+36+139+104+67+25+11+37+68+297+742</f>
        <v>2755</v>
      </c>
      <c r="N271" s="409">
        <f>L271/M271</f>
        <v>6.393466424682396</v>
      </c>
      <c r="O271" s="411"/>
    </row>
    <row r="272" spans="1:15" ht="15">
      <c r="A272" s="223">
        <v>268</v>
      </c>
      <c r="B272" s="209" t="s">
        <v>203</v>
      </c>
      <c r="C272" s="173">
        <v>40319</v>
      </c>
      <c r="D272" s="246" t="s">
        <v>118</v>
      </c>
      <c r="E272" s="241">
        <v>2</v>
      </c>
      <c r="F272" s="241">
        <v>1</v>
      </c>
      <c r="G272" s="241">
        <v>16</v>
      </c>
      <c r="H272" s="191">
        <v>1188</v>
      </c>
      <c r="I272" s="177">
        <v>297</v>
      </c>
      <c r="J272" s="170">
        <f>(I272/F272)</f>
        <v>297</v>
      </c>
      <c r="K272" s="192">
        <f>H272/I272</f>
        <v>4</v>
      </c>
      <c r="L272" s="193">
        <f>4143+1077+726+775+2269+1451+561+189+370+613+538+181+79+246+238+1188</f>
        <v>14644</v>
      </c>
      <c r="M272" s="169">
        <f>330+90+108+118+312+209+62+36+139+104+67+25+11+37+68+297</f>
        <v>2013</v>
      </c>
      <c r="N272" s="210">
        <f>L272/M272</f>
        <v>7.27471435668157</v>
      </c>
      <c r="O272" s="297"/>
    </row>
    <row r="273" spans="1:15" ht="15">
      <c r="A273" s="223">
        <v>269</v>
      </c>
      <c r="B273" s="371" t="s">
        <v>63</v>
      </c>
      <c r="C273" s="164">
        <v>40529</v>
      </c>
      <c r="D273" s="298" t="s">
        <v>26</v>
      </c>
      <c r="E273" s="241">
        <v>5</v>
      </c>
      <c r="F273" s="241">
        <v>3</v>
      </c>
      <c r="G273" s="241">
        <v>3</v>
      </c>
      <c r="H273" s="305">
        <v>2915</v>
      </c>
      <c r="I273" s="178">
        <v>305</v>
      </c>
      <c r="J273" s="168">
        <f>IF(H273&lt;&gt;0,I273/F273,"")</f>
        <v>101.66666666666667</v>
      </c>
      <c r="K273" s="326">
        <f>IF(H273&lt;&gt;0,H273/I273,"")</f>
        <v>9.557377049180328</v>
      </c>
      <c r="L273" s="253">
        <f>9892.5+4913+2915</f>
        <v>17720.5</v>
      </c>
      <c r="M273" s="165">
        <f>1037+523+305</f>
        <v>1865</v>
      </c>
      <c r="N273" s="376">
        <f>IF(L273&lt;&gt;0,L273/M273,"")</f>
        <v>9.501608579088472</v>
      </c>
      <c r="O273" s="268"/>
    </row>
    <row r="274" spans="1:15" ht="15">
      <c r="A274" s="223">
        <v>270</v>
      </c>
      <c r="B274" s="371" t="s">
        <v>98</v>
      </c>
      <c r="C274" s="164">
        <v>40410</v>
      </c>
      <c r="D274" s="229" t="s">
        <v>118</v>
      </c>
      <c r="E274" s="241">
        <v>100</v>
      </c>
      <c r="F274" s="241">
        <v>1</v>
      </c>
      <c r="G274" s="241">
        <v>18</v>
      </c>
      <c r="H274" s="191">
        <v>1782</v>
      </c>
      <c r="I274" s="177">
        <v>445</v>
      </c>
      <c r="J274" s="170">
        <f aca="true" t="shared" si="46" ref="J274:J298">(I274/F274)</f>
        <v>445</v>
      </c>
      <c r="K274" s="192">
        <f aca="true" t="shared" si="47" ref="K274:K299">H274/I274</f>
        <v>4.004494382022472</v>
      </c>
      <c r="L274" s="193">
        <f>4793.5+233907+173006+95171+69286+22212.5+11921.5+10683+6473+5548+3621+5930+360+5346+2138.5+6058.5+4752+950.5+1782</f>
        <v>663940</v>
      </c>
      <c r="M274" s="169">
        <f>312+25267+17706+10642+10638+3791+2335+2134+1501+1673+635+1434+72+1336+534+1515+1188+238+445</f>
        <v>83396</v>
      </c>
      <c r="N274" s="210">
        <f aca="true" t="shared" si="48" ref="N274:N298">L274/M274</f>
        <v>7.9612931075830975</v>
      </c>
      <c r="O274" s="268"/>
    </row>
    <row r="275" spans="1:15" ht="15">
      <c r="A275" s="223">
        <v>271</v>
      </c>
      <c r="B275" s="205" t="s">
        <v>98</v>
      </c>
      <c r="C275" s="164">
        <v>40410</v>
      </c>
      <c r="D275" s="229" t="s">
        <v>118</v>
      </c>
      <c r="E275" s="241">
        <v>100</v>
      </c>
      <c r="F275" s="241">
        <v>1</v>
      </c>
      <c r="G275" s="241">
        <v>17</v>
      </c>
      <c r="H275" s="191">
        <v>950.5</v>
      </c>
      <c r="I275" s="177">
        <v>238</v>
      </c>
      <c r="J275" s="170">
        <f t="shared" si="46"/>
        <v>238</v>
      </c>
      <c r="K275" s="192">
        <f t="shared" si="47"/>
        <v>3.9936974789915967</v>
      </c>
      <c r="L275" s="193">
        <f>4793.5+233907+173006+95171+69286+22212.5+11921.5+10683+6473+5548+3621+5930+360+5346+2138.5+6058.5+4752+950.5</f>
        <v>662158</v>
      </c>
      <c r="M275" s="169">
        <f>312+25267+17706+10642+10638+3791+2335+2134+1501+1673+635+1434+72+1336+534+1515+1188+238</f>
        <v>82951</v>
      </c>
      <c r="N275" s="210">
        <f t="shared" si="48"/>
        <v>7.9825198008462825</v>
      </c>
      <c r="O275" s="297"/>
    </row>
    <row r="276" spans="1:15" ht="15">
      <c r="A276" s="223">
        <v>272</v>
      </c>
      <c r="B276" s="240" t="s">
        <v>160</v>
      </c>
      <c r="C276" s="257">
        <v>40039</v>
      </c>
      <c r="D276" s="229" t="s">
        <v>118</v>
      </c>
      <c r="E276" s="230">
        <v>8</v>
      </c>
      <c r="F276" s="230">
        <v>1</v>
      </c>
      <c r="G276" s="230">
        <v>11</v>
      </c>
      <c r="H276" s="191">
        <v>952</v>
      </c>
      <c r="I276" s="177">
        <v>238</v>
      </c>
      <c r="J276" s="170">
        <f t="shared" si="46"/>
        <v>238</v>
      </c>
      <c r="K276" s="192">
        <f t="shared" si="47"/>
        <v>4</v>
      </c>
      <c r="L276" s="193">
        <f>29121.25+9335.5+10783.5+6805.5+6780.5+3746+1541.5+84+273+1188+952</f>
        <v>70610.75</v>
      </c>
      <c r="M276" s="169">
        <f>2428+976+1509+1029+1087+466+273+24+62+297+238</f>
        <v>8389</v>
      </c>
      <c r="N276" s="210">
        <f t="shared" si="48"/>
        <v>8.417064012397187</v>
      </c>
      <c r="O276" s="399"/>
    </row>
    <row r="277" spans="1:15" ht="15">
      <c r="A277" s="223">
        <v>273</v>
      </c>
      <c r="B277" s="391" t="s">
        <v>2</v>
      </c>
      <c r="C277" s="164">
        <v>40522</v>
      </c>
      <c r="D277" s="229" t="s">
        <v>118</v>
      </c>
      <c r="E277" s="241">
        <v>127</v>
      </c>
      <c r="F277" s="241">
        <v>65</v>
      </c>
      <c r="G277" s="241">
        <v>4</v>
      </c>
      <c r="H277" s="304">
        <v>70165.5</v>
      </c>
      <c r="I277" s="177">
        <v>8841</v>
      </c>
      <c r="J277" s="170">
        <f t="shared" si="46"/>
        <v>136.01538461538462</v>
      </c>
      <c r="K277" s="311">
        <f t="shared" si="47"/>
        <v>7.9363759755683745</v>
      </c>
      <c r="L277" s="184">
        <f>1048675+809166.5+457718.5+70165.5</f>
        <v>2385725.5</v>
      </c>
      <c r="M277" s="169">
        <f>92481+73795+43350+8841</f>
        <v>218467</v>
      </c>
      <c r="N277" s="185">
        <f t="shared" si="48"/>
        <v>10.92030146429438</v>
      </c>
      <c r="O277" s="297">
        <v>1</v>
      </c>
    </row>
    <row r="278" spans="1:15" ht="15">
      <c r="A278" s="223">
        <v>274</v>
      </c>
      <c r="B278" s="213" t="s">
        <v>2</v>
      </c>
      <c r="C278" s="299">
        <v>40522</v>
      </c>
      <c r="D278" s="229" t="s">
        <v>118</v>
      </c>
      <c r="E278" s="301">
        <v>127</v>
      </c>
      <c r="F278" s="301">
        <v>11</v>
      </c>
      <c r="G278" s="301">
        <v>6</v>
      </c>
      <c r="H278" s="303">
        <v>12164</v>
      </c>
      <c r="I278" s="307">
        <v>2869</v>
      </c>
      <c r="J278" s="308">
        <f t="shared" si="46"/>
        <v>260.8181818181818</v>
      </c>
      <c r="K278" s="310">
        <f t="shared" si="47"/>
        <v>4.239804810038341</v>
      </c>
      <c r="L278" s="313">
        <f>1048675+809166.5+457718.5+70165.5+7102+12164</f>
        <v>2404991.5</v>
      </c>
      <c r="M278" s="314">
        <f>92481+73795+43350+8841+1153+2869</f>
        <v>222489</v>
      </c>
      <c r="N278" s="373">
        <f t="shared" si="48"/>
        <v>10.809484963301557</v>
      </c>
      <c r="O278" s="416"/>
    </row>
    <row r="279" spans="1:15" ht="15">
      <c r="A279" s="223">
        <v>275</v>
      </c>
      <c r="B279" s="213" t="s">
        <v>2</v>
      </c>
      <c r="C279" s="164">
        <v>40522</v>
      </c>
      <c r="D279" s="229" t="s">
        <v>118</v>
      </c>
      <c r="E279" s="241">
        <v>127</v>
      </c>
      <c r="F279" s="241">
        <v>8</v>
      </c>
      <c r="G279" s="241">
        <v>8</v>
      </c>
      <c r="H279" s="191">
        <v>11777.5</v>
      </c>
      <c r="I279" s="177">
        <v>2831</v>
      </c>
      <c r="J279" s="170">
        <f t="shared" si="46"/>
        <v>353.875</v>
      </c>
      <c r="K279" s="192">
        <f t="shared" si="47"/>
        <v>4.160190745319675</v>
      </c>
      <c r="L279" s="193">
        <f>1048675+809166.5+457718.5+70165.5+7102+12164+8619.5+11777.5</f>
        <v>2425388.5</v>
      </c>
      <c r="M279" s="169">
        <f>92481+73795+43350+8841+1153+2869+1615+2831</f>
        <v>226935</v>
      </c>
      <c r="N279" s="210">
        <f t="shared" si="48"/>
        <v>10.68759116046445</v>
      </c>
      <c r="O279" s="268"/>
    </row>
    <row r="280" spans="1:15" ht="15">
      <c r="A280" s="223">
        <v>276</v>
      </c>
      <c r="B280" s="240" t="s">
        <v>2</v>
      </c>
      <c r="C280" s="257">
        <v>40522</v>
      </c>
      <c r="D280" s="229" t="s">
        <v>118</v>
      </c>
      <c r="E280" s="230">
        <v>127</v>
      </c>
      <c r="F280" s="230">
        <v>10</v>
      </c>
      <c r="G280" s="230">
        <v>11</v>
      </c>
      <c r="H280" s="191">
        <v>10420.5</v>
      </c>
      <c r="I280" s="177">
        <v>2477</v>
      </c>
      <c r="J280" s="170">
        <f t="shared" si="46"/>
        <v>247.7</v>
      </c>
      <c r="K280" s="192">
        <f t="shared" si="47"/>
        <v>4.206903512313282</v>
      </c>
      <c r="L280" s="193">
        <f>1048675+809166.5+457718.5+70165.5+7102+12164+8619.5+11777.5+6559.5+3338.5+10420.5</f>
        <v>2445707</v>
      </c>
      <c r="M280" s="169">
        <f>92481+73795+43350+8841+1153+2869+1615+2831+1620+630+2477</f>
        <v>231662</v>
      </c>
      <c r="N280" s="210">
        <f t="shared" si="48"/>
        <v>10.557221296544103</v>
      </c>
      <c r="O280" s="399"/>
    </row>
    <row r="281" spans="1:15" ht="15">
      <c r="A281" s="223">
        <v>277</v>
      </c>
      <c r="B281" s="391" t="s">
        <v>2</v>
      </c>
      <c r="C281" s="164">
        <v>40522</v>
      </c>
      <c r="D281" s="229" t="s">
        <v>118</v>
      </c>
      <c r="E281" s="241">
        <v>127</v>
      </c>
      <c r="F281" s="241">
        <v>10</v>
      </c>
      <c r="G281" s="241">
        <v>7</v>
      </c>
      <c r="H281" s="191">
        <v>8619.5</v>
      </c>
      <c r="I281" s="177">
        <v>1615</v>
      </c>
      <c r="J281" s="170">
        <f t="shared" si="46"/>
        <v>161.5</v>
      </c>
      <c r="K281" s="192">
        <f t="shared" si="47"/>
        <v>5.337151702786378</v>
      </c>
      <c r="L281" s="193">
        <f>1048675+809166.5+457718.5+70165.5+7102+12164+8619.5</f>
        <v>2413611</v>
      </c>
      <c r="M281" s="169">
        <f>92481+73795+43350+8841+1153+2869+1615</f>
        <v>224104</v>
      </c>
      <c r="N281" s="210">
        <f t="shared" si="48"/>
        <v>10.770048727376576</v>
      </c>
      <c r="O281" s="268"/>
    </row>
    <row r="282" spans="1:15" ht="15">
      <c r="A282" s="223">
        <v>278</v>
      </c>
      <c r="B282" s="213" t="s">
        <v>2</v>
      </c>
      <c r="C282" s="164">
        <v>40522</v>
      </c>
      <c r="D282" s="229" t="s">
        <v>118</v>
      </c>
      <c r="E282" s="241">
        <v>127</v>
      </c>
      <c r="F282" s="241">
        <v>10</v>
      </c>
      <c r="G282" s="241">
        <v>5</v>
      </c>
      <c r="H282" s="191">
        <v>7102</v>
      </c>
      <c r="I282" s="177">
        <v>1153</v>
      </c>
      <c r="J282" s="170">
        <f t="shared" si="46"/>
        <v>115.3</v>
      </c>
      <c r="K282" s="192">
        <f t="shared" si="47"/>
        <v>6.159583694709454</v>
      </c>
      <c r="L282" s="193">
        <f>1048675+809166.5+457718.5+70165.5+7102</f>
        <v>2392827.5</v>
      </c>
      <c r="M282" s="169">
        <f>92481+73795+43350+8841+1153</f>
        <v>219620</v>
      </c>
      <c r="N282" s="210">
        <f t="shared" si="48"/>
        <v>10.8953078043894</v>
      </c>
      <c r="O282" s="297"/>
    </row>
    <row r="283" spans="1:15" ht="15">
      <c r="A283" s="223">
        <v>279</v>
      </c>
      <c r="B283" s="240" t="s">
        <v>2</v>
      </c>
      <c r="C283" s="164">
        <v>40522</v>
      </c>
      <c r="D283" s="229" t="s">
        <v>118</v>
      </c>
      <c r="E283" s="230">
        <v>127</v>
      </c>
      <c r="F283" s="230">
        <v>5</v>
      </c>
      <c r="G283" s="230">
        <v>9</v>
      </c>
      <c r="H283" s="191">
        <v>6559.5</v>
      </c>
      <c r="I283" s="177">
        <v>1620</v>
      </c>
      <c r="J283" s="170">
        <f t="shared" si="46"/>
        <v>324</v>
      </c>
      <c r="K283" s="192">
        <f t="shared" si="47"/>
        <v>4.049074074074074</v>
      </c>
      <c r="L283" s="193">
        <f>1048675+809166.5+457718.5+70165.5+7102+12164+8619.5+11777.5+6559.5</f>
        <v>2431948</v>
      </c>
      <c r="M283" s="169">
        <f>92481+73795+43350+8841+1153+2869+1615+2831+1620</f>
        <v>228555</v>
      </c>
      <c r="N283" s="210">
        <f t="shared" si="48"/>
        <v>10.640537288617619</v>
      </c>
      <c r="O283" s="415"/>
    </row>
    <row r="284" spans="1:15" ht="15">
      <c r="A284" s="223">
        <v>280</v>
      </c>
      <c r="B284" s="392" t="s">
        <v>2</v>
      </c>
      <c r="C284" s="299">
        <v>40522</v>
      </c>
      <c r="D284" s="229" t="s">
        <v>118</v>
      </c>
      <c r="E284" s="301">
        <v>127</v>
      </c>
      <c r="F284" s="301">
        <v>5</v>
      </c>
      <c r="G284" s="301">
        <v>10</v>
      </c>
      <c r="H284" s="303">
        <v>3338.5</v>
      </c>
      <c r="I284" s="307">
        <v>630</v>
      </c>
      <c r="J284" s="308">
        <f t="shared" si="46"/>
        <v>126</v>
      </c>
      <c r="K284" s="310">
        <f t="shared" si="47"/>
        <v>5.299206349206349</v>
      </c>
      <c r="L284" s="313">
        <f>1048675+809166.5+457718.5+70165.5+7102+12164+8619.5+11777.5+6559.5+3338.5</f>
        <v>2435286.5</v>
      </c>
      <c r="M284" s="314">
        <f>92481+73795+43350+8841+1153+2869+1615+2831+1620+630</f>
        <v>229185</v>
      </c>
      <c r="N284" s="373">
        <f t="shared" si="48"/>
        <v>10.625854658900016</v>
      </c>
      <c r="O284" s="414"/>
    </row>
    <row r="285" spans="1:15" ht="15">
      <c r="A285" s="223">
        <v>281</v>
      </c>
      <c r="B285" s="240" t="s">
        <v>2</v>
      </c>
      <c r="C285" s="257">
        <v>40522</v>
      </c>
      <c r="D285" s="229" t="s">
        <v>118</v>
      </c>
      <c r="E285" s="230">
        <v>127</v>
      </c>
      <c r="F285" s="230">
        <v>6</v>
      </c>
      <c r="G285" s="230">
        <v>12</v>
      </c>
      <c r="H285" s="304">
        <v>3303</v>
      </c>
      <c r="I285" s="315">
        <v>726</v>
      </c>
      <c r="J285" s="316">
        <f t="shared" si="46"/>
        <v>121</v>
      </c>
      <c r="K285" s="311">
        <f t="shared" si="47"/>
        <v>4.549586776859504</v>
      </c>
      <c r="L285" s="184">
        <f>1048675+809166.5+457718.5+70165.5+7102+12164+8619.5+11777.5+6559.5+3338.5+10420.5+3303</f>
        <v>2449010</v>
      </c>
      <c r="M285" s="266">
        <f>92481+73795+43350+8841+1153+2869+1615+2831+1620+630+2477+726</f>
        <v>232388</v>
      </c>
      <c r="N285" s="185">
        <f t="shared" si="48"/>
        <v>10.538452932165171</v>
      </c>
      <c r="O285" s="399"/>
    </row>
    <row r="286" spans="1:15" ht="15">
      <c r="A286" s="223">
        <v>282</v>
      </c>
      <c r="B286" s="213" t="s">
        <v>2</v>
      </c>
      <c r="C286" s="164">
        <v>40522</v>
      </c>
      <c r="D286" s="242" t="s">
        <v>118</v>
      </c>
      <c r="E286" s="241">
        <v>127</v>
      </c>
      <c r="F286" s="241">
        <v>5</v>
      </c>
      <c r="G286" s="241">
        <v>13</v>
      </c>
      <c r="H286" s="191">
        <v>3205</v>
      </c>
      <c r="I286" s="177">
        <v>513</v>
      </c>
      <c r="J286" s="170">
        <f t="shared" si="46"/>
        <v>102.6</v>
      </c>
      <c r="K286" s="192">
        <f t="shared" si="47"/>
        <v>6.247563352826511</v>
      </c>
      <c r="L286" s="193">
        <f>1048675+809166.5+457718.5+70165.5+7102+12164+8619.5+11777.5+6559.5+3338.5+10420.5+3303+3205</f>
        <v>2452215</v>
      </c>
      <c r="M286" s="169">
        <f>92481+73795+43350+8841+1153+2869+1615+2831+1620+630+2477+726+513</f>
        <v>232901</v>
      </c>
      <c r="N286" s="210">
        <f t="shared" si="48"/>
        <v>10.529001592951511</v>
      </c>
      <c r="O286" s="296"/>
    </row>
    <row r="287" spans="1:15" ht="15">
      <c r="A287" s="223">
        <v>283</v>
      </c>
      <c r="B287" s="213" t="s">
        <v>2</v>
      </c>
      <c r="C287" s="164">
        <v>40522</v>
      </c>
      <c r="D287" s="242" t="s">
        <v>118</v>
      </c>
      <c r="E287" s="241">
        <v>127</v>
      </c>
      <c r="F287" s="241">
        <v>2</v>
      </c>
      <c r="G287" s="241">
        <v>14</v>
      </c>
      <c r="H287" s="191">
        <v>2076</v>
      </c>
      <c r="I287" s="177">
        <v>481</v>
      </c>
      <c r="J287" s="170">
        <f t="shared" si="46"/>
        <v>240.5</v>
      </c>
      <c r="K287" s="192">
        <f t="shared" si="47"/>
        <v>4.316008316008316</v>
      </c>
      <c r="L287" s="193">
        <f>1048675+809166.5+457718.5+70165.5+7102+12164+8619.5+11777.5+6559.5+3338.5+10420.5+3303+3205+2076</f>
        <v>2454291</v>
      </c>
      <c r="M287" s="169">
        <f>92481+73795+43350+8841+1153+2869+1615+2831+1620+630+2477+726+513+481</f>
        <v>233382</v>
      </c>
      <c r="N287" s="210">
        <f t="shared" si="48"/>
        <v>10.516196621847444</v>
      </c>
      <c r="O287" s="268"/>
    </row>
    <row r="288" spans="1:15" ht="15">
      <c r="A288" s="223">
        <v>284</v>
      </c>
      <c r="B288" s="213" t="s">
        <v>2</v>
      </c>
      <c r="C288" s="173">
        <v>40522</v>
      </c>
      <c r="D288" s="246" t="s">
        <v>118</v>
      </c>
      <c r="E288" s="241">
        <v>127</v>
      </c>
      <c r="F288" s="241">
        <v>2</v>
      </c>
      <c r="G288" s="241">
        <v>15</v>
      </c>
      <c r="H288" s="191">
        <v>1722.5</v>
      </c>
      <c r="I288" s="177">
        <v>318</v>
      </c>
      <c r="J288" s="170">
        <f t="shared" si="46"/>
        <v>159</v>
      </c>
      <c r="K288" s="192">
        <f t="shared" si="47"/>
        <v>5.416666666666667</v>
      </c>
      <c r="L288" s="193">
        <f>1048675+809166.5+457718.5+70165.5+7102+12164+8619.5+11777.5+6559.5+3338.5+10420.5+3303+3205+2076+1722.5</f>
        <v>2456013.5</v>
      </c>
      <c r="M288" s="169">
        <f>92481+73795+43350+8841+1153+2869+1615+2831+1620+630+2477+726+513+481+318</f>
        <v>233700</v>
      </c>
      <c r="N288" s="210">
        <f t="shared" si="48"/>
        <v>10.509257595207531</v>
      </c>
      <c r="O288" s="297"/>
    </row>
    <row r="289" spans="1:15" ht="15">
      <c r="A289" s="223">
        <v>285</v>
      </c>
      <c r="B289" s="240" t="s">
        <v>2</v>
      </c>
      <c r="C289" s="400">
        <v>40522</v>
      </c>
      <c r="D289" s="229" t="s">
        <v>212</v>
      </c>
      <c r="E289" s="230">
        <v>127</v>
      </c>
      <c r="F289" s="230">
        <v>1</v>
      </c>
      <c r="G289" s="230">
        <v>16</v>
      </c>
      <c r="H289" s="191">
        <v>314</v>
      </c>
      <c r="I289" s="177">
        <v>38</v>
      </c>
      <c r="J289" s="170">
        <f t="shared" si="46"/>
        <v>38</v>
      </c>
      <c r="K289" s="401">
        <f t="shared" si="47"/>
        <v>8.263157894736842</v>
      </c>
      <c r="L289" s="193">
        <f>1048675+809166.5+457718.5+70165.5+7102+12164+8619.5+11777.5+6559.5+3338.5+10420.5+3303+3205+2076+1722.5+314</f>
        <v>2456327.5</v>
      </c>
      <c r="M289" s="169">
        <f>92481+73795+43350+8841+1153+2869+1615+2831+1620+630+2477+726+513+481+318+38</f>
        <v>233738</v>
      </c>
      <c r="N289" s="409">
        <f t="shared" si="48"/>
        <v>10.508892435119664</v>
      </c>
      <c r="O289" s="411"/>
    </row>
    <row r="290" spans="1:15" ht="15">
      <c r="A290" s="223">
        <v>286</v>
      </c>
      <c r="B290" s="392" t="s">
        <v>2</v>
      </c>
      <c r="C290" s="299">
        <v>40522</v>
      </c>
      <c r="D290" s="421" t="s">
        <v>118</v>
      </c>
      <c r="E290" s="301">
        <v>127</v>
      </c>
      <c r="F290" s="301">
        <v>1</v>
      </c>
      <c r="G290" s="301">
        <v>17</v>
      </c>
      <c r="H290" s="303">
        <v>264</v>
      </c>
      <c r="I290" s="307">
        <v>33</v>
      </c>
      <c r="J290" s="308">
        <f t="shared" si="46"/>
        <v>33</v>
      </c>
      <c r="K290" s="310">
        <f t="shared" si="47"/>
        <v>8</v>
      </c>
      <c r="L290" s="313">
        <f>1048675+809166.5+457718.5+70165.5+7102+12164+8619.5+11777.5+6559.5+3338.5+10420.5+3303+3205+2076+1722.5+314+264</f>
        <v>2456591.5</v>
      </c>
      <c r="M290" s="314">
        <f>92481+73795+43350+8841+1153+2869+1615+2831+1620+630+2477+726+513+481+318+38+33</f>
        <v>233771</v>
      </c>
      <c r="N290" s="373">
        <f t="shared" si="48"/>
        <v>10.5085382703586</v>
      </c>
      <c r="O290" s="422"/>
    </row>
    <row r="291" spans="1:15" ht="15">
      <c r="A291" s="223">
        <v>287</v>
      </c>
      <c r="B291" s="213" t="s">
        <v>2</v>
      </c>
      <c r="C291" s="164">
        <v>40522</v>
      </c>
      <c r="D291" s="242" t="s">
        <v>118</v>
      </c>
      <c r="E291" s="241">
        <v>127</v>
      </c>
      <c r="F291" s="241">
        <v>1</v>
      </c>
      <c r="G291" s="241">
        <v>18</v>
      </c>
      <c r="H291" s="191">
        <v>550</v>
      </c>
      <c r="I291" s="177">
        <v>104</v>
      </c>
      <c r="J291" s="170">
        <f t="shared" si="46"/>
        <v>104</v>
      </c>
      <c r="K291" s="192">
        <f t="shared" si="47"/>
        <v>5.288461538461538</v>
      </c>
      <c r="L291" s="193">
        <f>1048675+809166.5+457718.5+70165.5+7102+12164+8619.5+11777.5+6559.5+3338.5+10420.5+3303+3205+2076+1722.5+314+264+550</f>
        <v>2457141.5</v>
      </c>
      <c r="M291" s="169">
        <f>92481+73795+43350+8841+1153+2869+1615+2831+1620+630+2477+726+513+481+318+38+33+104</f>
        <v>233875</v>
      </c>
      <c r="N291" s="210">
        <f t="shared" si="48"/>
        <v>10.506216996258685</v>
      </c>
      <c r="O291" s="541"/>
    </row>
    <row r="292" spans="1:15" ht="15">
      <c r="A292" s="223">
        <v>288</v>
      </c>
      <c r="B292" s="205" t="s">
        <v>202</v>
      </c>
      <c r="C292" s="164">
        <v>40151</v>
      </c>
      <c r="D292" s="242" t="s">
        <v>118</v>
      </c>
      <c r="E292" s="241">
        <v>2</v>
      </c>
      <c r="F292" s="241">
        <v>1</v>
      </c>
      <c r="G292" s="241">
        <v>10</v>
      </c>
      <c r="H292" s="191">
        <v>2138.5</v>
      </c>
      <c r="I292" s="177">
        <v>534</v>
      </c>
      <c r="J292" s="170">
        <f t="shared" si="46"/>
        <v>534</v>
      </c>
      <c r="K292" s="192">
        <f t="shared" si="47"/>
        <v>4.004681647940075</v>
      </c>
      <c r="L292" s="193">
        <f>14952+6112+2196+2975+2853+674+1006+530+2139+2138.5</f>
        <v>35575.5</v>
      </c>
      <c r="M292" s="169">
        <f>1468+666+254+478+502+81+130+107+535+534</f>
        <v>4755</v>
      </c>
      <c r="N292" s="210">
        <f t="shared" si="48"/>
        <v>7.481703470031546</v>
      </c>
      <c r="O292" s="297"/>
    </row>
    <row r="293" spans="1:15" ht="15">
      <c r="A293" s="223">
        <v>289</v>
      </c>
      <c r="B293" s="371" t="s">
        <v>150</v>
      </c>
      <c r="C293" s="164">
        <v>40529</v>
      </c>
      <c r="D293" s="229" t="s">
        <v>118</v>
      </c>
      <c r="E293" s="241">
        <v>27</v>
      </c>
      <c r="F293" s="241">
        <v>11</v>
      </c>
      <c r="G293" s="241">
        <v>3</v>
      </c>
      <c r="H293" s="304">
        <v>7073.5</v>
      </c>
      <c r="I293" s="177">
        <v>920</v>
      </c>
      <c r="J293" s="170">
        <f t="shared" si="46"/>
        <v>83.63636363636364</v>
      </c>
      <c r="K293" s="311">
        <f t="shared" si="47"/>
        <v>7.688586956521739</v>
      </c>
      <c r="L293" s="184">
        <f>68045+25663+7073.5</f>
        <v>100781.5</v>
      </c>
      <c r="M293" s="169">
        <f>5442+2277+920</f>
        <v>8639</v>
      </c>
      <c r="N293" s="185">
        <f t="shared" si="48"/>
        <v>11.665875680055562</v>
      </c>
      <c r="O293" s="268">
        <v>1</v>
      </c>
    </row>
    <row r="294" spans="1:15" ht="15">
      <c r="A294" s="223">
        <v>290</v>
      </c>
      <c r="B294" s="372" t="s">
        <v>105</v>
      </c>
      <c r="C294" s="299">
        <v>40529</v>
      </c>
      <c r="D294" s="229" t="s">
        <v>118</v>
      </c>
      <c r="E294" s="301">
        <v>27</v>
      </c>
      <c r="F294" s="301">
        <v>4</v>
      </c>
      <c r="G294" s="301">
        <v>4</v>
      </c>
      <c r="H294" s="191">
        <v>5233</v>
      </c>
      <c r="I294" s="177">
        <v>1185</v>
      </c>
      <c r="J294" s="170">
        <f t="shared" si="46"/>
        <v>296.25</v>
      </c>
      <c r="K294" s="192">
        <f t="shared" si="47"/>
        <v>4.4160337552742615</v>
      </c>
      <c r="L294" s="193">
        <f>68045+25663+7073.5+5233</f>
        <v>106014.5</v>
      </c>
      <c r="M294" s="169">
        <f>5442+2277+920+1185</f>
        <v>9824</v>
      </c>
      <c r="N294" s="210">
        <f t="shared" si="48"/>
        <v>10.79137825732899</v>
      </c>
      <c r="O294" s="297"/>
    </row>
    <row r="295" spans="1:15" ht="15">
      <c r="A295" s="223">
        <v>291</v>
      </c>
      <c r="B295" s="371" t="s">
        <v>105</v>
      </c>
      <c r="C295" s="164">
        <v>40529</v>
      </c>
      <c r="D295" s="229" t="s">
        <v>118</v>
      </c>
      <c r="E295" s="241">
        <v>27</v>
      </c>
      <c r="F295" s="241">
        <v>2</v>
      </c>
      <c r="G295" s="241">
        <v>5</v>
      </c>
      <c r="H295" s="191">
        <v>3859</v>
      </c>
      <c r="I295" s="177">
        <v>711</v>
      </c>
      <c r="J295" s="170">
        <f t="shared" si="46"/>
        <v>355.5</v>
      </c>
      <c r="K295" s="192">
        <f t="shared" si="47"/>
        <v>5.427566807313643</v>
      </c>
      <c r="L295" s="193">
        <f>68045+25663+7073.5+5233+3859</f>
        <v>109873.5</v>
      </c>
      <c r="M295" s="169">
        <f>5442+2277+920+1185+711</f>
        <v>10535</v>
      </c>
      <c r="N295" s="210">
        <f t="shared" si="48"/>
        <v>10.42937826293308</v>
      </c>
      <c r="O295" s="268"/>
    </row>
    <row r="296" spans="1:15" ht="15">
      <c r="A296" s="223">
        <v>292</v>
      </c>
      <c r="B296" s="205" t="s">
        <v>105</v>
      </c>
      <c r="C296" s="164">
        <v>40529</v>
      </c>
      <c r="D296" s="242" t="s">
        <v>118</v>
      </c>
      <c r="E296" s="241">
        <v>27</v>
      </c>
      <c r="F296" s="241">
        <v>1</v>
      </c>
      <c r="G296" s="241">
        <v>8</v>
      </c>
      <c r="H296" s="191">
        <v>1497</v>
      </c>
      <c r="I296" s="177">
        <v>218</v>
      </c>
      <c r="J296" s="170">
        <f t="shared" si="46"/>
        <v>218</v>
      </c>
      <c r="K296" s="192">
        <f t="shared" si="47"/>
        <v>6.86697247706422</v>
      </c>
      <c r="L296" s="193">
        <f>68045+25663+7073.5+5233+3859+470+100+1497</f>
        <v>111940.5</v>
      </c>
      <c r="M296" s="169">
        <f>5442+2277+920+1185+711+78+13+218</f>
        <v>10844</v>
      </c>
      <c r="N296" s="210">
        <f t="shared" si="48"/>
        <v>10.322805237919587</v>
      </c>
      <c r="O296" s="296"/>
    </row>
    <row r="297" spans="1:15" ht="15">
      <c r="A297" s="223">
        <v>293</v>
      </c>
      <c r="B297" s="372" t="s">
        <v>105</v>
      </c>
      <c r="C297" s="299">
        <v>40529</v>
      </c>
      <c r="D297" s="229" t="s">
        <v>118</v>
      </c>
      <c r="E297" s="301">
        <v>27</v>
      </c>
      <c r="F297" s="301">
        <v>1</v>
      </c>
      <c r="G297" s="301">
        <v>6</v>
      </c>
      <c r="H297" s="191">
        <v>470</v>
      </c>
      <c r="I297" s="177">
        <v>78</v>
      </c>
      <c r="J297" s="170">
        <f t="shared" si="46"/>
        <v>78</v>
      </c>
      <c r="K297" s="192">
        <f t="shared" si="47"/>
        <v>6.0256410256410255</v>
      </c>
      <c r="L297" s="193">
        <f>68045+25663+7073.5+5233+3859+470</f>
        <v>110343.5</v>
      </c>
      <c r="M297" s="169">
        <f>5442+2277+920+1185+711+78</f>
        <v>10613</v>
      </c>
      <c r="N297" s="210">
        <f t="shared" si="48"/>
        <v>10.397013097145011</v>
      </c>
      <c r="O297" s="414"/>
    </row>
    <row r="298" spans="1:15" ht="15">
      <c r="A298" s="223">
        <v>294</v>
      </c>
      <c r="B298" s="240" t="s">
        <v>105</v>
      </c>
      <c r="C298" s="257">
        <v>40529</v>
      </c>
      <c r="D298" s="229" t="s">
        <v>118</v>
      </c>
      <c r="E298" s="230">
        <v>27</v>
      </c>
      <c r="F298" s="230">
        <v>1</v>
      </c>
      <c r="G298" s="230">
        <v>7</v>
      </c>
      <c r="H298" s="191">
        <v>100</v>
      </c>
      <c r="I298" s="177">
        <v>13</v>
      </c>
      <c r="J298" s="170">
        <f t="shared" si="46"/>
        <v>13</v>
      </c>
      <c r="K298" s="192">
        <f t="shared" si="47"/>
        <v>7.6923076923076925</v>
      </c>
      <c r="L298" s="193">
        <f>68045+25663+7073.5+5233+3859+470+100</f>
        <v>110443.5</v>
      </c>
      <c r="M298" s="169">
        <f>5442+2277+920+1185+711+78+13</f>
        <v>10626</v>
      </c>
      <c r="N298" s="210">
        <f t="shared" si="48"/>
        <v>10.393704121964992</v>
      </c>
      <c r="O298" s="399"/>
    </row>
    <row r="299" spans="1:15" ht="15">
      <c r="A299" s="223">
        <v>295</v>
      </c>
      <c r="B299" s="211" t="s">
        <v>114</v>
      </c>
      <c r="C299" s="161">
        <v>40417</v>
      </c>
      <c r="D299" s="232" t="s">
        <v>24</v>
      </c>
      <c r="E299" s="231">
        <v>119</v>
      </c>
      <c r="F299" s="231">
        <v>1</v>
      </c>
      <c r="G299" s="231">
        <v>15</v>
      </c>
      <c r="H299" s="188">
        <v>941</v>
      </c>
      <c r="I299" s="176">
        <v>843</v>
      </c>
      <c r="J299" s="163">
        <f>I299/F299</f>
        <v>843</v>
      </c>
      <c r="K299" s="189">
        <f t="shared" si="47"/>
        <v>1.1162514827995256</v>
      </c>
      <c r="L299" s="190">
        <v>859853</v>
      </c>
      <c r="M299" s="162">
        <v>97516</v>
      </c>
      <c r="N299" s="208">
        <f aca="true" t="shared" si="49" ref="N299:N311">+L299/M299</f>
        <v>8.817558144304524</v>
      </c>
      <c r="O299" s="399"/>
    </row>
    <row r="300" spans="1:15" ht="15">
      <c r="A300" s="223">
        <v>296</v>
      </c>
      <c r="B300" s="379" t="s">
        <v>37</v>
      </c>
      <c r="C300" s="161">
        <v>40480</v>
      </c>
      <c r="D300" s="346" t="s">
        <v>27</v>
      </c>
      <c r="E300" s="231">
        <v>21</v>
      </c>
      <c r="F300" s="231">
        <v>12</v>
      </c>
      <c r="G300" s="231">
        <v>10</v>
      </c>
      <c r="H300" s="347">
        <v>8985</v>
      </c>
      <c r="I300" s="180">
        <v>1356</v>
      </c>
      <c r="J300" s="168">
        <f aca="true" t="shared" si="50" ref="J300:J307">+I300/F300</f>
        <v>113</v>
      </c>
      <c r="K300" s="326">
        <f aca="true" t="shared" si="51" ref="K300:K307">+H300/I300</f>
        <v>6.626106194690266</v>
      </c>
      <c r="L300" s="348">
        <v>295457</v>
      </c>
      <c r="M300" s="167">
        <v>26551</v>
      </c>
      <c r="N300" s="376">
        <f t="shared" si="49"/>
        <v>11.127904787013671</v>
      </c>
      <c r="O300" s="297"/>
    </row>
    <row r="301" spans="1:15" ht="15">
      <c r="A301" s="223">
        <v>297</v>
      </c>
      <c r="B301" s="211" t="s">
        <v>37</v>
      </c>
      <c r="C301" s="321">
        <v>40480</v>
      </c>
      <c r="D301" s="232" t="s">
        <v>27</v>
      </c>
      <c r="E301" s="231">
        <v>21</v>
      </c>
      <c r="F301" s="231">
        <v>3</v>
      </c>
      <c r="G301" s="231">
        <v>13</v>
      </c>
      <c r="H301" s="194">
        <v>2972</v>
      </c>
      <c r="I301" s="180">
        <v>535</v>
      </c>
      <c r="J301" s="168">
        <f t="shared" si="50"/>
        <v>178.33333333333334</v>
      </c>
      <c r="K301" s="195">
        <f t="shared" si="51"/>
        <v>5.555140186915888</v>
      </c>
      <c r="L301" s="196">
        <v>302074</v>
      </c>
      <c r="M301" s="167">
        <v>27572</v>
      </c>
      <c r="N301" s="212">
        <f t="shared" si="49"/>
        <v>10.95582474974612</v>
      </c>
      <c r="O301" s="399"/>
    </row>
    <row r="302" spans="1:15" ht="15">
      <c r="A302" s="223">
        <v>298</v>
      </c>
      <c r="B302" s="211" t="s">
        <v>37</v>
      </c>
      <c r="C302" s="161">
        <v>40480</v>
      </c>
      <c r="D302" s="245" t="s">
        <v>27</v>
      </c>
      <c r="E302" s="231">
        <v>21</v>
      </c>
      <c r="F302" s="231">
        <v>1</v>
      </c>
      <c r="G302" s="231">
        <v>12</v>
      </c>
      <c r="H302" s="194">
        <v>1139</v>
      </c>
      <c r="I302" s="180">
        <v>203</v>
      </c>
      <c r="J302" s="168">
        <f t="shared" si="50"/>
        <v>203</v>
      </c>
      <c r="K302" s="195">
        <f t="shared" si="51"/>
        <v>5.610837438423645</v>
      </c>
      <c r="L302" s="196">
        <v>299102</v>
      </c>
      <c r="M302" s="167">
        <v>27037</v>
      </c>
      <c r="N302" s="212">
        <f t="shared" si="49"/>
        <v>11.062691866701186</v>
      </c>
      <c r="O302" s="414"/>
    </row>
    <row r="303" spans="1:15" ht="15">
      <c r="A303" s="223">
        <v>299</v>
      </c>
      <c r="B303" s="211" t="s">
        <v>37</v>
      </c>
      <c r="C303" s="321">
        <v>40480</v>
      </c>
      <c r="D303" s="232" t="s">
        <v>27</v>
      </c>
      <c r="E303" s="231">
        <v>21</v>
      </c>
      <c r="F303" s="231">
        <v>1</v>
      </c>
      <c r="G303" s="231">
        <v>14</v>
      </c>
      <c r="H303" s="347">
        <v>1028</v>
      </c>
      <c r="I303" s="356">
        <v>201</v>
      </c>
      <c r="J303" s="345">
        <f t="shared" si="50"/>
        <v>201</v>
      </c>
      <c r="K303" s="326">
        <f t="shared" si="51"/>
        <v>5.114427860696518</v>
      </c>
      <c r="L303" s="348">
        <v>303102</v>
      </c>
      <c r="M303" s="357">
        <v>27773</v>
      </c>
      <c r="N303" s="376">
        <f t="shared" si="49"/>
        <v>10.913549130450438</v>
      </c>
      <c r="O303" s="399"/>
    </row>
    <row r="304" spans="1:15" ht="15">
      <c r="A304" s="223">
        <v>300</v>
      </c>
      <c r="B304" s="211" t="s">
        <v>37</v>
      </c>
      <c r="C304" s="161">
        <v>40480</v>
      </c>
      <c r="D304" s="245" t="s">
        <v>27</v>
      </c>
      <c r="E304" s="231">
        <v>21</v>
      </c>
      <c r="F304" s="231">
        <v>1</v>
      </c>
      <c r="G304" s="231">
        <v>15</v>
      </c>
      <c r="H304" s="194">
        <v>484</v>
      </c>
      <c r="I304" s="180">
        <v>96</v>
      </c>
      <c r="J304" s="168">
        <f t="shared" si="50"/>
        <v>96</v>
      </c>
      <c r="K304" s="195">
        <f t="shared" si="51"/>
        <v>5.041666666666667</v>
      </c>
      <c r="L304" s="196">
        <v>303586</v>
      </c>
      <c r="M304" s="167">
        <v>27869</v>
      </c>
      <c r="N304" s="212">
        <f t="shared" si="49"/>
        <v>10.89332232947002</v>
      </c>
      <c r="O304" s="296"/>
    </row>
    <row r="305" spans="1:15" ht="15">
      <c r="A305" s="223">
        <v>301</v>
      </c>
      <c r="B305" s="211" t="s">
        <v>37</v>
      </c>
      <c r="C305" s="161">
        <v>40480</v>
      </c>
      <c r="D305" s="245" t="s">
        <v>27</v>
      </c>
      <c r="E305" s="231">
        <v>21</v>
      </c>
      <c r="F305" s="231">
        <v>1</v>
      </c>
      <c r="G305" s="231">
        <v>16</v>
      </c>
      <c r="H305" s="194">
        <v>273</v>
      </c>
      <c r="I305" s="180">
        <v>53</v>
      </c>
      <c r="J305" s="168">
        <f t="shared" si="50"/>
        <v>53</v>
      </c>
      <c r="K305" s="195">
        <f t="shared" si="51"/>
        <v>5.150943396226415</v>
      </c>
      <c r="L305" s="196">
        <v>303859</v>
      </c>
      <c r="M305" s="167">
        <v>27922</v>
      </c>
      <c r="N305" s="212">
        <f t="shared" si="49"/>
        <v>10.882422462574315</v>
      </c>
      <c r="O305" s="268"/>
    </row>
    <row r="306" spans="1:15" ht="15">
      <c r="A306" s="223">
        <v>302</v>
      </c>
      <c r="B306" s="211" t="s">
        <v>37</v>
      </c>
      <c r="C306" s="161">
        <v>40480</v>
      </c>
      <c r="D306" s="245" t="s">
        <v>27</v>
      </c>
      <c r="E306" s="231">
        <v>21</v>
      </c>
      <c r="F306" s="231">
        <v>2</v>
      </c>
      <c r="G306" s="231">
        <v>17</v>
      </c>
      <c r="H306" s="194">
        <v>2367</v>
      </c>
      <c r="I306" s="180">
        <v>314</v>
      </c>
      <c r="J306" s="168">
        <f t="shared" si="50"/>
        <v>157</v>
      </c>
      <c r="K306" s="195">
        <f t="shared" si="51"/>
        <v>7.538216560509555</v>
      </c>
      <c r="L306" s="196">
        <v>306226</v>
      </c>
      <c r="M306" s="167">
        <v>28236</v>
      </c>
      <c r="N306" s="212">
        <f t="shared" si="49"/>
        <v>10.84523303584077</v>
      </c>
      <c r="O306" s="541"/>
    </row>
    <row r="307" spans="1:15" ht="15">
      <c r="A307" s="223">
        <v>303</v>
      </c>
      <c r="B307" s="211" t="s">
        <v>108</v>
      </c>
      <c r="C307" s="161">
        <v>37193</v>
      </c>
      <c r="D307" s="232" t="s">
        <v>27</v>
      </c>
      <c r="E307" s="231">
        <v>21</v>
      </c>
      <c r="F307" s="231">
        <v>1</v>
      </c>
      <c r="G307" s="231">
        <v>11</v>
      </c>
      <c r="H307" s="194">
        <v>2506</v>
      </c>
      <c r="I307" s="180">
        <v>283</v>
      </c>
      <c r="J307" s="168">
        <f t="shared" si="50"/>
        <v>283</v>
      </c>
      <c r="K307" s="195">
        <f t="shared" si="51"/>
        <v>8.855123674911662</v>
      </c>
      <c r="L307" s="196">
        <v>297963</v>
      </c>
      <c r="M307" s="167">
        <v>26834</v>
      </c>
      <c r="N307" s="212">
        <f t="shared" si="49"/>
        <v>11.103935305955131</v>
      </c>
      <c r="O307" s="399"/>
    </row>
    <row r="308" spans="1:15" ht="15">
      <c r="A308" s="223">
        <v>304</v>
      </c>
      <c r="B308" s="207" t="s">
        <v>130</v>
      </c>
      <c r="C308" s="161">
        <v>40473</v>
      </c>
      <c r="D308" s="244" t="s">
        <v>24</v>
      </c>
      <c r="E308" s="243">
        <v>74</v>
      </c>
      <c r="F308" s="243">
        <v>1</v>
      </c>
      <c r="G308" s="243">
        <v>9</v>
      </c>
      <c r="H308" s="188">
        <v>3572</v>
      </c>
      <c r="I308" s="176">
        <v>893</v>
      </c>
      <c r="J308" s="163">
        <f>I308/F308</f>
        <v>893</v>
      </c>
      <c r="K308" s="189">
        <f>H308/I308</f>
        <v>4</v>
      </c>
      <c r="L308" s="190">
        <v>981252</v>
      </c>
      <c r="M308" s="162">
        <v>84379</v>
      </c>
      <c r="N308" s="208">
        <f t="shared" si="49"/>
        <v>11.62910202775572</v>
      </c>
      <c r="O308" s="268"/>
    </row>
    <row r="309" spans="1:15" ht="15">
      <c r="A309" s="223">
        <v>305</v>
      </c>
      <c r="B309" s="207" t="s">
        <v>130</v>
      </c>
      <c r="C309" s="161">
        <v>40473</v>
      </c>
      <c r="D309" s="244" t="s">
        <v>24</v>
      </c>
      <c r="E309" s="243">
        <v>74</v>
      </c>
      <c r="F309" s="243">
        <v>1</v>
      </c>
      <c r="G309" s="243">
        <v>11</v>
      </c>
      <c r="H309" s="188">
        <v>1190</v>
      </c>
      <c r="I309" s="176">
        <v>238</v>
      </c>
      <c r="J309" s="163">
        <f>I309/F309</f>
        <v>238</v>
      </c>
      <c r="K309" s="189">
        <f>H309/I309</f>
        <v>5</v>
      </c>
      <c r="L309" s="190">
        <v>983217</v>
      </c>
      <c r="M309" s="162">
        <v>84696</v>
      </c>
      <c r="N309" s="208">
        <f t="shared" si="49"/>
        <v>11.608777274015301</v>
      </c>
      <c r="O309" s="268"/>
    </row>
    <row r="310" spans="1:15" ht="15">
      <c r="A310" s="223">
        <v>306</v>
      </c>
      <c r="B310" s="207" t="s">
        <v>130</v>
      </c>
      <c r="C310" s="161">
        <v>40473</v>
      </c>
      <c r="D310" s="244" t="s">
        <v>24</v>
      </c>
      <c r="E310" s="243">
        <v>74</v>
      </c>
      <c r="F310" s="243">
        <v>1</v>
      </c>
      <c r="G310" s="243">
        <v>10</v>
      </c>
      <c r="H310" s="188">
        <v>775</v>
      </c>
      <c r="I310" s="176">
        <v>79</v>
      </c>
      <c r="J310" s="163">
        <f>I310/F310</f>
        <v>79</v>
      </c>
      <c r="K310" s="189">
        <f>H310/I310</f>
        <v>9.810126582278482</v>
      </c>
      <c r="L310" s="190">
        <f>981252+775</f>
        <v>982027</v>
      </c>
      <c r="M310" s="162">
        <f>84379+79</f>
        <v>84458</v>
      </c>
      <c r="N310" s="208">
        <f t="shared" si="49"/>
        <v>11.627400601482394</v>
      </c>
      <c r="O310" s="296"/>
    </row>
    <row r="311" spans="1:15" ht="15">
      <c r="A311" s="223">
        <v>307</v>
      </c>
      <c r="B311" s="207" t="s">
        <v>130</v>
      </c>
      <c r="C311" s="161">
        <v>40473</v>
      </c>
      <c r="D311" s="244" t="s">
        <v>24</v>
      </c>
      <c r="E311" s="243">
        <v>74</v>
      </c>
      <c r="F311" s="243">
        <v>1</v>
      </c>
      <c r="G311" s="243">
        <v>12</v>
      </c>
      <c r="H311" s="188">
        <v>464</v>
      </c>
      <c r="I311" s="176">
        <v>380</v>
      </c>
      <c r="J311" s="163">
        <f>I311/F311</f>
        <v>380</v>
      </c>
      <c r="K311" s="189">
        <f>H311/I311</f>
        <v>1.2210526315789474</v>
      </c>
      <c r="L311" s="190">
        <v>983681</v>
      </c>
      <c r="M311" s="162">
        <v>85076</v>
      </c>
      <c r="N311" s="208">
        <f t="shared" si="49"/>
        <v>11.562379519488458</v>
      </c>
      <c r="O311" s="423"/>
    </row>
    <row r="312" spans="1:15" ht="15">
      <c r="A312" s="223">
        <v>308</v>
      </c>
      <c r="B312" s="207" t="s">
        <v>201</v>
      </c>
      <c r="C312" s="161">
        <v>40312</v>
      </c>
      <c r="D312" s="244" t="s">
        <v>17</v>
      </c>
      <c r="E312" s="243">
        <v>64</v>
      </c>
      <c r="F312" s="243">
        <v>1</v>
      </c>
      <c r="G312" s="243">
        <v>22</v>
      </c>
      <c r="H312" s="197">
        <v>2376</v>
      </c>
      <c r="I312" s="181">
        <v>475</v>
      </c>
      <c r="J312" s="168">
        <f>IF(H312&lt;&gt;0,I312/F312,"")</f>
        <v>475</v>
      </c>
      <c r="K312" s="195">
        <f>IF(H312&lt;&gt;0,H312/I312,"")</f>
        <v>5.002105263157895</v>
      </c>
      <c r="L312" s="198">
        <f>384993+315+150+24+2376</f>
        <v>387858</v>
      </c>
      <c r="M312" s="165">
        <f>43717+38+25+4+475</f>
        <v>44259</v>
      </c>
      <c r="N312" s="212">
        <f>IF(L312&lt;&gt;0,L312/M312,"")</f>
        <v>8.76337016200095</v>
      </c>
      <c r="O312" s="296"/>
    </row>
    <row r="313" spans="1:15" ht="15">
      <c r="A313" s="223">
        <v>309</v>
      </c>
      <c r="B313" s="379" t="s">
        <v>1</v>
      </c>
      <c r="C313" s="161">
        <v>40522</v>
      </c>
      <c r="D313" s="346" t="s">
        <v>27</v>
      </c>
      <c r="E313" s="231">
        <v>110</v>
      </c>
      <c r="F313" s="231">
        <v>110</v>
      </c>
      <c r="G313" s="231">
        <v>4</v>
      </c>
      <c r="H313" s="347">
        <v>694041</v>
      </c>
      <c r="I313" s="180">
        <v>64977</v>
      </c>
      <c r="J313" s="168">
        <f>+I313/F313</f>
        <v>590.7</v>
      </c>
      <c r="K313" s="326">
        <f>+H313/I313</f>
        <v>10.681333394893578</v>
      </c>
      <c r="L313" s="348">
        <v>4602088</v>
      </c>
      <c r="M313" s="167">
        <v>434759</v>
      </c>
      <c r="N313" s="376">
        <f>+L313/M313</f>
        <v>10.5853771859812</v>
      </c>
      <c r="O313" s="297"/>
    </row>
    <row r="314" spans="1:15" ht="15">
      <c r="A314" s="223">
        <v>310</v>
      </c>
      <c r="B314" s="211" t="s">
        <v>1</v>
      </c>
      <c r="C314" s="161">
        <v>40522</v>
      </c>
      <c r="D314" s="346" t="s">
        <v>27</v>
      </c>
      <c r="E314" s="231">
        <v>110</v>
      </c>
      <c r="F314" s="231">
        <v>71</v>
      </c>
      <c r="G314" s="231">
        <v>5</v>
      </c>
      <c r="H314" s="194">
        <v>224162</v>
      </c>
      <c r="I314" s="180">
        <v>19224</v>
      </c>
      <c r="J314" s="168">
        <f>+I314/F314</f>
        <v>270.76056338028167</v>
      </c>
      <c r="K314" s="195">
        <f>+H314/I314</f>
        <v>11.660528506034124</v>
      </c>
      <c r="L314" s="196">
        <v>4826250</v>
      </c>
      <c r="M314" s="167">
        <v>453983</v>
      </c>
      <c r="N314" s="212">
        <f>+L314/M314</f>
        <v>10.63090468145283</v>
      </c>
      <c r="O314" s="296"/>
    </row>
    <row r="315" spans="1:15" ht="15">
      <c r="A315" s="223">
        <v>311</v>
      </c>
      <c r="B315" s="211" t="s">
        <v>1</v>
      </c>
      <c r="C315" s="161">
        <v>40522</v>
      </c>
      <c r="D315" s="232" t="s">
        <v>27</v>
      </c>
      <c r="E315" s="231">
        <v>110</v>
      </c>
      <c r="F315" s="231">
        <v>66</v>
      </c>
      <c r="G315" s="231">
        <v>6</v>
      </c>
      <c r="H315" s="194">
        <v>118638</v>
      </c>
      <c r="I315" s="180">
        <v>12477</v>
      </c>
      <c r="J315" s="168">
        <f>+I315/F315</f>
        <v>189.04545454545453</v>
      </c>
      <c r="K315" s="195">
        <f>+H315/I315</f>
        <v>9.508535705698485</v>
      </c>
      <c r="L315" s="196">
        <v>4944888</v>
      </c>
      <c r="M315" s="167">
        <v>466460</v>
      </c>
      <c r="N315" s="212">
        <f>+L315/M315</f>
        <v>10.600883248295673</v>
      </c>
      <c r="O315" s="399"/>
    </row>
    <row r="316" spans="1:15" ht="15">
      <c r="A316" s="223">
        <v>312</v>
      </c>
      <c r="B316" s="379" t="s">
        <v>1</v>
      </c>
      <c r="C316" s="161">
        <v>40522</v>
      </c>
      <c r="D316" s="245" t="s">
        <v>27</v>
      </c>
      <c r="E316" s="231">
        <v>110</v>
      </c>
      <c r="F316" s="231">
        <v>32</v>
      </c>
      <c r="G316" s="231">
        <v>7</v>
      </c>
      <c r="H316" s="194">
        <v>51075</v>
      </c>
      <c r="I316" s="180">
        <v>6840</v>
      </c>
      <c r="J316" s="170">
        <f>(I316/F316)</f>
        <v>213.75</v>
      </c>
      <c r="K316" s="192">
        <f>H316/I316</f>
        <v>7.467105263157895</v>
      </c>
      <c r="L316" s="196">
        <v>4995963</v>
      </c>
      <c r="M316" s="167">
        <v>473300</v>
      </c>
      <c r="N316" s="210">
        <f>L316/M316</f>
        <v>10.55559476019438</v>
      </c>
      <c r="O316" s="268"/>
    </row>
    <row r="317" spans="1:15" ht="15">
      <c r="A317" s="223">
        <v>313</v>
      </c>
      <c r="B317" s="211" t="s">
        <v>1</v>
      </c>
      <c r="C317" s="161">
        <v>40522</v>
      </c>
      <c r="D317" s="245" t="s">
        <v>27</v>
      </c>
      <c r="E317" s="231">
        <v>110</v>
      </c>
      <c r="F317" s="231">
        <v>6</v>
      </c>
      <c r="G317" s="231">
        <v>10</v>
      </c>
      <c r="H317" s="194">
        <v>4744</v>
      </c>
      <c r="I317" s="180">
        <v>1467</v>
      </c>
      <c r="J317" s="168">
        <f aca="true" t="shared" si="52" ref="J317:J322">+I317/F317</f>
        <v>244.5</v>
      </c>
      <c r="K317" s="195">
        <f aca="true" t="shared" si="53" ref="K317:K323">+H317/I317</f>
        <v>3.2338104976141784</v>
      </c>
      <c r="L317" s="196">
        <v>5008119</v>
      </c>
      <c r="M317" s="167">
        <v>476107</v>
      </c>
      <c r="N317" s="212">
        <f aca="true" t="shared" si="54" ref="N317:N333">+L317/M317</f>
        <v>10.518893862094025</v>
      </c>
      <c r="O317" s="414"/>
    </row>
    <row r="318" spans="1:15" ht="15">
      <c r="A318" s="223">
        <v>314</v>
      </c>
      <c r="B318" s="211" t="s">
        <v>1</v>
      </c>
      <c r="C318" s="161">
        <v>40522</v>
      </c>
      <c r="D318" s="232" t="s">
        <v>27</v>
      </c>
      <c r="E318" s="231">
        <v>110</v>
      </c>
      <c r="F318" s="231">
        <v>6</v>
      </c>
      <c r="G318" s="231">
        <v>9</v>
      </c>
      <c r="H318" s="194">
        <v>4075</v>
      </c>
      <c r="I318" s="180">
        <v>848</v>
      </c>
      <c r="J318" s="168">
        <f t="shared" si="52"/>
        <v>141.33333333333334</v>
      </c>
      <c r="K318" s="195">
        <f t="shared" si="53"/>
        <v>4.805424528301887</v>
      </c>
      <c r="L318" s="196">
        <v>5003375</v>
      </c>
      <c r="M318" s="167">
        <v>474640</v>
      </c>
      <c r="N318" s="212">
        <f t="shared" si="54"/>
        <v>10.541410332041126</v>
      </c>
      <c r="O318" s="415"/>
    </row>
    <row r="319" spans="1:15" ht="15">
      <c r="A319" s="223">
        <v>315</v>
      </c>
      <c r="B319" s="211" t="s">
        <v>1</v>
      </c>
      <c r="C319" s="321">
        <v>40522</v>
      </c>
      <c r="D319" s="232" t="s">
        <v>27</v>
      </c>
      <c r="E319" s="231">
        <v>110</v>
      </c>
      <c r="F319" s="231">
        <v>9</v>
      </c>
      <c r="G319" s="231">
        <v>11</v>
      </c>
      <c r="H319" s="194">
        <v>3734</v>
      </c>
      <c r="I319" s="180">
        <v>594</v>
      </c>
      <c r="J319" s="168">
        <f t="shared" si="52"/>
        <v>66</v>
      </c>
      <c r="K319" s="195">
        <f t="shared" si="53"/>
        <v>6.286195286195286</v>
      </c>
      <c r="L319" s="196">
        <v>5011853</v>
      </c>
      <c r="M319" s="167">
        <v>476701</v>
      </c>
      <c r="N319" s="212">
        <f t="shared" si="54"/>
        <v>10.513619648374977</v>
      </c>
      <c r="O319" s="399"/>
    </row>
    <row r="320" spans="1:15" ht="15">
      <c r="A320" s="223">
        <v>316</v>
      </c>
      <c r="B320" s="211" t="s">
        <v>1</v>
      </c>
      <c r="C320" s="161">
        <v>40522</v>
      </c>
      <c r="D320" s="245" t="s">
        <v>27</v>
      </c>
      <c r="E320" s="231">
        <v>110</v>
      </c>
      <c r="F320" s="231">
        <v>7</v>
      </c>
      <c r="G320" s="231">
        <v>8</v>
      </c>
      <c r="H320" s="194">
        <v>3338</v>
      </c>
      <c r="I320" s="180">
        <v>492</v>
      </c>
      <c r="J320" s="168">
        <f t="shared" si="52"/>
        <v>70.28571428571429</v>
      </c>
      <c r="K320" s="195">
        <f t="shared" si="53"/>
        <v>6.784552845528455</v>
      </c>
      <c r="L320" s="196">
        <v>4999300</v>
      </c>
      <c r="M320" s="167">
        <v>473792</v>
      </c>
      <c r="N320" s="208">
        <f t="shared" si="54"/>
        <v>10.551676685127651</v>
      </c>
      <c r="O320" s="268"/>
    </row>
    <row r="321" spans="1:15" ht="15">
      <c r="A321" s="223">
        <v>317</v>
      </c>
      <c r="B321" s="211" t="s">
        <v>1</v>
      </c>
      <c r="C321" s="161">
        <v>40522</v>
      </c>
      <c r="D321" s="245" t="s">
        <v>27</v>
      </c>
      <c r="E321" s="231">
        <v>110</v>
      </c>
      <c r="F321" s="231">
        <v>4</v>
      </c>
      <c r="G321" s="231">
        <v>13</v>
      </c>
      <c r="H321" s="194">
        <v>2400</v>
      </c>
      <c r="I321" s="180">
        <v>492</v>
      </c>
      <c r="J321" s="168">
        <f t="shared" si="52"/>
        <v>123</v>
      </c>
      <c r="K321" s="195">
        <f t="shared" si="53"/>
        <v>4.878048780487805</v>
      </c>
      <c r="L321" s="196">
        <v>5014749</v>
      </c>
      <c r="M321" s="167">
        <v>477268</v>
      </c>
      <c r="N321" s="212">
        <f t="shared" si="54"/>
        <v>10.507197214143835</v>
      </c>
      <c r="O321" s="296"/>
    </row>
    <row r="322" spans="1:15" ht="15">
      <c r="A322" s="223">
        <v>318</v>
      </c>
      <c r="B322" s="211" t="s">
        <v>1</v>
      </c>
      <c r="C322" s="321">
        <v>40522</v>
      </c>
      <c r="D322" s="232" t="s">
        <v>27</v>
      </c>
      <c r="E322" s="231">
        <v>110</v>
      </c>
      <c r="F322" s="231">
        <v>2</v>
      </c>
      <c r="G322" s="231">
        <v>12</v>
      </c>
      <c r="H322" s="347">
        <v>496</v>
      </c>
      <c r="I322" s="356">
        <v>75</v>
      </c>
      <c r="J322" s="345">
        <f t="shared" si="52"/>
        <v>37.5</v>
      </c>
      <c r="K322" s="326">
        <f t="shared" si="53"/>
        <v>6.613333333333333</v>
      </c>
      <c r="L322" s="348">
        <v>5012349</v>
      </c>
      <c r="M322" s="357">
        <v>476776</v>
      </c>
      <c r="N322" s="376">
        <f t="shared" si="54"/>
        <v>10.513006107689984</v>
      </c>
      <c r="O322" s="399"/>
    </row>
    <row r="323" spans="1:15" ht="15">
      <c r="A323" s="223">
        <v>319</v>
      </c>
      <c r="B323" s="374" t="s">
        <v>73</v>
      </c>
      <c r="C323" s="161">
        <v>40536</v>
      </c>
      <c r="D323" s="317" t="s">
        <v>24</v>
      </c>
      <c r="E323" s="243">
        <v>48</v>
      </c>
      <c r="F323" s="243">
        <v>48</v>
      </c>
      <c r="G323" s="243">
        <v>2</v>
      </c>
      <c r="H323" s="318">
        <v>281047</v>
      </c>
      <c r="I323" s="176">
        <v>23436</v>
      </c>
      <c r="J323" s="163">
        <f aca="true" t="shared" si="55" ref="J323:J333">I323/F323</f>
        <v>488.25</v>
      </c>
      <c r="K323" s="312">
        <f t="shared" si="53"/>
        <v>11.992106161461</v>
      </c>
      <c r="L323" s="320">
        <v>605758</v>
      </c>
      <c r="M323" s="162">
        <v>52142</v>
      </c>
      <c r="N323" s="375">
        <f t="shared" si="54"/>
        <v>11.61746768440029</v>
      </c>
      <c r="O323" s="425"/>
    </row>
    <row r="324" spans="1:15" ht="15">
      <c r="A324" s="223">
        <v>320</v>
      </c>
      <c r="B324" s="207" t="s">
        <v>73</v>
      </c>
      <c r="C324" s="161">
        <v>40536</v>
      </c>
      <c r="D324" s="317" t="s">
        <v>24</v>
      </c>
      <c r="E324" s="243">
        <v>48</v>
      </c>
      <c r="F324" s="243">
        <v>36</v>
      </c>
      <c r="G324" s="243">
        <v>3</v>
      </c>
      <c r="H324" s="188">
        <v>66790</v>
      </c>
      <c r="I324" s="176">
        <v>5435</v>
      </c>
      <c r="J324" s="163">
        <f t="shared" si="55"/>
        <v>150.97222222222223</v>
      </c>
      <c r="K324" s="189">
        <f aca="true" t="shared" si="56" ref="K324:K353">H324/I324</f>
        <v>12.288868445262189</v>
      </c>
      <c r="L324" s="190">
        <v>672548</v>
      </c>
      <c r="M324" s="162">
        <v>57577</v>
      </c>
      <c r="N324" s="208">
        <f t="shared" si="54"/>
        <v>11.6808447817705</v>
      </c>
      <c r="O324" s="296"/>
    </row>
    <row r="325" spans="1:15" ht="15">
      <c r="A325" s="223">
        <v>321</v>
      </c>
      <c r="B325" s="374" t="s">
        <v>73</v>
      </c>
      <c r="C325" s="161">
        <v>40536</v>
      </c>
      <c r="D325" s="244" t="s">
        <v>24</v>
      </c>
      <c r="E325" s="243">
        <v>48</v>
      </c>
      <c r="F325" s="243">
        <v>10</v>
      </c>
      <c r="G325" s="243">
        <v>5</v>
      </c>
      <c r="H325" s="188">
        <v>11003</v>
      </c>
      <c r="I325" s="176">
        <v>1816</v>
      </c>
      <c r="J325" s="163">
        <f t="shared" si="55"/>
        <v>181.6</v>
      </c>
      <c r="K325" s="189">
        <f t="shared" si="56"/>
        <v>6.058920704845815</v>
      </c>
      <c r="L325" s="190">
        <v>691927</v>
      </c>
      <c r="M325" s="162">
        <v>60452</v>
      </c>
      <c r="N325" s="208">
        <f t="shared" si="54"/>
        <v>11.445890954807119</v>
      </c>
      <c r="O325" s="268"/>
    </row>
    <row r="326" spans="1:15" ht="15">
      <c r="A326" s="223">
        <v>322</v>
      </c>
      <c r="B326" s="211" t="s">
        <v>73</v>
      </c>
      <c r="C326" s="161">
        <v>40536</v>
      </c>
      <c r="D326" s="232" t="s">
        <v>24</v>
      </c>
      <c r="E326" s="231">
        <v>48</v>
      </c>
      <c r="F326" s="231">
        <v>7</v>
      </c>
      <c r="G326" s="231">
        <v>4</v>
      </c>
      <c r="H326" s="188">
        <v>8376</v>
      </c>
      <c r="I326" s="176">
        <v>1059</v>
      </c>
      <c r="J326" s="163">
        <f t="shared" si="55"/>
        <v>151.28571428571428</v>
      </c>
      <c r="K326" s="189">
        <f t="shared" si="56"/>
        <v>7.909348441926346</v>
      </c>
      <c r="L326" s="190">
        <v>680924</v>
      </c>
      <c r="M326" s="162">
        <v>58636</v>
      </c>
      <c r="N326" s="208">
        <f t="shared" si="54"/>
        <v>11.612729381267481</v>
      </c>
      <c r="O326" s="399"/>
    </row>
    <row r="327" spans="1:15" ht="15">
      <c r="A327" s="223">
        <v>323</v>
      </c>
      <c r="B327" s="211" t="s">
        <v>73</v>
      </c>
      <c r="C327" s="321">
        <v>40536</v>
      </c>
      <c r="D327" s="232" t="s">
        <v>24</v>
      </c>
      <c r="E327" s="231">
        <v>48</v>
      </c>
      <c r="F327" s="231">
        <v>4</v>
      </c>
      <c r="G327" s="231">
        <v>9</v>
      </c>
      <c r="H327" s="188">
        <v>3417</v>
      </c>
      <c r="I327" s="176">
        <v>493</v>
      </c>
      <c r="J327" s="163">
        <f t="shared" si="55"/>
        <v>123.25</v>
      </c>
      <c r="K327" s="189">
        <f t="shared" si="56"/>
        <v>6.931034482758621</v>
      </c>
      <c r="L327" s="190">
        <v>702704</v>
      </c>
      <c r="M327" s="162">
        <v>62786</v>
      </c>
      <c r="N327" s="208">
        <f t="shared" si="54"/>
        <v>11.192049182938872</v>
      </c>
      <c r="O327" s="399"/>
    </row>
    <row r="328" spans="1:15" ht="15">
      <c r="A328" s="223">
        <v>324</v>
      </c>
      <c r="B328" s="207" t="s">
        <v>73</v>
      </c>
      <c r="C328" s="161">
        <v>40536</v>
      </c>
      <c r="D328" s="244" t="s">
        <v>24</v>
      </c>
      <c r="E328" s="243">
        <v>48</v>
      </c>
      <c r="F328" s="243">
        <v>5</v>
      </c>
      <c r="G328" s="243">
        <v>8</v>
      </c>
      <c r="H328" s="188">
        <v>2592</v>
      </c>
      <c r="I328" s="176">
        <v>363</v>
      </c>
      <c r="J328" s="163">
        <f t="shared" si="55"/>
        <v>72.6</v>
      </c>
      <c r="K328" s="189">
        <f t="shared" si="56"/>
        <v>7.140495867768595</v>
      </c>
      <c r="L328" s="190">
        <v>699287</v>
      </c>
      <c r="M328" s="162">
        <v>62293</v>
      </c>
      <c r="N328" s="208">
        <f t="shared" si="54"/>
        <v>11.225771756056057</v>
      </c>
      <c r="O328" s="414"/>
    </row>
    <row r="329" spans="1:15" ht="15">
      <c r="A329" s="223">
        <v>325</v>
      </c>
      <c r="B329" s="211" t="s">
        <v>73</v>
      </c>
      <c r="C329" s="161">
        <v>40536</v>
      </c>
      <c r="D329" s="232" t="s">
        <v>24</v>
      </c>
      <c r="E329" s="231">
        <v>48</v>
      </c>
      <c r="F329" s="231">
        <v>2</v>
      </c>
      <c r="G329" s="231">
        <v>7</v>
      </c>
      <c r="H329" s="188">
        <v>2498</v>
      </c>
      <c r="I329" s="176">
        <v>822</v>
      </c>
      <c r="J329" s="163">
        <f t="shared" si="55"/>
        <v>411</v>
      </c>
      <c r="K329" s="189">
        <f t="shared" si="56"/>
        <v>3.0389294403892944</v>
      </c>
      <c r="L329" s="190">
        <v>696695</v>
      </c>
      <c r="M329" s="162">
        <v>61930</v>
      </c>
      <c r="N329" s="208">
        <f t="shared" si="54"/>
        <v>11.249717422896818</v>
      </c>
      <c r="O329" s="415"/>
    </row>
    <row r="330" spans="1:15" ht="15">
      <c r="A330" s="223">
        <v>326</v>
      </c>
      <c r="B330" s="207" t="s">
        <v>73</v>
      </c>
      <c r="C330" s="161">
        <v>40536</v>
      </c>
      <c r="D330" s="244" t="s">
        <v>24</v>
      </c>
      <c r="E330" s="243">
        <v>48</v>
      </c>
      <c r="F330" s="243">
        <v>3</v>
      </c>
      <c r="G330" s="243">
        <v>6</v>
      </c>
      <c r="H330" s="188">
        <v>2270</v>
      </c>
      <c r="I330" s="176">
        <v>656</v>
      </c>
      <c r="J330" s="163">
        <f t="shared" si="55"/>
        <v>218.66666666666666</v>
      </c>
      <c r="K330" s="189">
        <f t="shared" si="56"/>
        <v>3.4603658536585367</v>
      </c>
      <c r="L330" s="190">
        <v>694197</v>
      </c>
      <c r="M330" s="162">
        <v>61108</v>
      </c>
      <c r="N330" s="208">
        <f t="shared" si="54"/>
        <v>11.360165608430975</v>
      </c>
      <c r="O330" s="268"/>
    </row>
    <row r="331" spans="1:15" ht="15">
      <c r="A331" s="223">
        <v>327</v>
      </c>
      <c r="B331" s="211" t="s">
        <v>73</v>
      </c>
      <c r="C331" s="402">
        <v>40536</v>
      </c>
      <c r="D331" s="232" t="s">
        <v>24</v>
      </c>
      <c r="E331" s="231">
        <v>48</v>
      </c>
      <c r="F331" s="231">
        <v>2</v>
      </c>
      <c r="G331" s="231">
        <v>11</v>
      </c>
      <c r="H331" s="188">
        <v>2258</v>
      </c>
      <c r="I331" s="176">
        <v>388</v>
      </c>
      <c r="J331" s="163">
        <f t="shared" si="55"/>
        <v>194</v>
      </c>
      <c r="K331" s="403">
        <f t="shared" si="56"/>
        <v>5.819587628865979</v>
      </c>
      <c r="L331" s="190">
        <v>706152</v>
      </c>
      <c r="M331" s="162">
        <v>63570</v>
      </c>
      <c r="N331" s="407">
        <f t="shared" si="54"/>
        <v>11.10825861255309</v>
      </c>
      <c r="O331" s="399"/>
    </row>
    <row r="332" spans="1:15" ht="15">
      <c r="A332" s="223">
        <v>328</v>
      </c>
      <c r="B332" s="207" t="s">
        <v>73</v>
      </c>
      <c r="C332" s="161">
        <v>40536</v>
      </c>
      <c r="D332" s="244" t="s">
        <v>24</v>
      </c>
      <c r="E332" s="243">
        <v>48</v>
      </c>
      <c r="F332" s="243">
        <v>1</v>
      </c>
      <c r="G332" s="243">
        <v>10</v>
      </c>
      <c r="H332" s="188">
        <v>1190</v>
      </c>
      <c r="I332" s="176">
        <v>396</v>
      </c>
      <c r="J332" s="163">
        <f t="shared" si="55"/>
        <v>396</v>
      </c>
      <c r="K332" s="189">
        <f t="shared" si="56"/>
        <v>3.005050505050505</v>
      </c>
      <c r="L332" s="190">
        <v>703894</v>
      </c>
      <c r="M332" s="162">
        <v>63182</v>
      </c>
      <c r="N332" s="208">
        <f t="shared" si="54"/>
        <v>11.140736285650977</v>
      </c>
      <c r="O332" s="296"/>
    </row>
    <row r="333" spans="1:15" ht="15">
      <c r="A333" s="223">
        <v>329</v>
      </c>
      <c r="B333" s="211" t="s">
        <v>165</v>
      </c>
      <c r="C333" s="321">
        <v>39577</v>
      </c>
      <c r="D333" s="232" t="s">
        <v>166</v>
      </c>
      <c r="E333" s="231">
        <v>26</v>
      </c>
      <c r="F333" s="231">
        <v>1</v>
      </c>
      <c r="G333" s="231">
        <v>16</v>
      </c>
      <c r="H333" s="347">
        <v>1188</v>
      </c>
      <c r="I333" s="356">
        <v>198</v>
      </c>
      <c r="J333" s="358">
        <f t="shared" si="55"/>
        <v>198</v>
      </c>
      <c r="K333" s="359">
        <f t="shared" si="56"/>
        <v>6</v>
      </c>
      <c r="L333" s="348">
        <v>117962.42</v>
      </c>
      <c r="M333" s="357">
        <v>13895</v>
      </c>
      <c r="N333" s="393">
        <f t="shared" si="54"/>
        <v>8.48955883411299</v>
      </c>
      <c r="O333" s="399"/>
    </row>
    <row r="334" spans="1:15" ht="15">
      <c r="A334" s="223">
        <v>330</v>
      </c>
      <c r="B334" s="371" t="s">
        <v>65</v>
      </c>
      <c r="C334" s="164">
        <v>40508</v>
      </c>
      <c r="D334" s="229" t="s">
        <v>118</v>
      </c>
      <c r="E334" s="241">
        <v>44</v>
      </c>
      <c r="F334" s="241">
        <v>2</v>
      </c>
      <c r="G334" s="241">
        <v>6</v>
      </c>
      <c r="H334" s="304">
        <v>1171.5</v>
      </c>
      <c r="I334" s="177">
        <v>282</v>
      </c>
      <c r="J334" s="170">
        <f aca="true" t="shared" si="57" ref="J334:J353">(I334/F334)</f>
        <v>141</v>
      </c>
      <c r="K334" s="311">
        <f t="shared" si="56"/>
        <v>4.154255319148936</v>
      </c>
      <c r="L334" s="184">
        <f>49086+11854+1926+2212.5+1180+1171.5</f>
        <v>67430</v>
      </c>
      <c r="M334" s="169">
        <f>5689+1635+274+420+165+282</f>
        <v>8465</v>
      </c>
      <c r="N334" s="185">
        <f aca="true" t="shared" si="58" ref="N334:N353">L334/M334</f>
        <v>7.96574128765505</v>
      </c>
      <c r="O334" s="297"/>
    </row>
    <row r="335" spans="1:15" ht="15">
      <c r="A335" s="223">
        <v>331</v>
      </c>
      <c r="B335" s="381" t="s">
        <v>3</v>
      </c>
      <c r="C335" s="340">
        <v>40473</v>
      </c>
      <c r="D335" s="229" t="s">
        <v>118</v>
      </c>
      <c r="E335" s="341">
        <v>2</v>
      </c>
      <c r="F335" s="341">
        <v>1</v>
      </c>
      <c r="G335" s="341">
        <v>8</v>
      </c>
      <c r="H335" s="304">
        <v>2138.5</v>
      </c>
      <c r="I335" s="315">
        <v>534</v>
      </c>
      <c r="J335" s="316">
        <f t="shared" si="57"/>
        <v>534</v>
      </c>
      <c r="K335" s="311">
        <f t="shared" si="56"/>
        <v>4.004681647940075</v>
      </c>
      <c r="L335" s="184">
        <f>6832+2665+3612+1330+1973+129+396+2138.5</f>
        <v>19075.5</v>
      </c>
      <c r="M335" s="266">
        <f>659+312+817+151+365+14+89+534</f>
        <v>2941</v>
      </c>
      <c r="N335" s="185">
        <f t="shared" si="58"/>
        <v>6.486059163549813</v>
      </c>
      <c r="O335" s="399"/>
    </row>
    <row r="336" spans="1:15" ht="15">
      <c r="A336" s="223">
        <v>332</v>
      </c>
      <c r="B336" s="383" t="s">
        <v>3</v>
      </c>
      <c r="C336" s="175">
        <v>40473</v>
      </c>
      <c r="D336" s="242" t="s">
        <v>118</v>
      </c>
      <c r="E336" s="247">
        <v>2</v>
      </c>
      <c r="F336" s="247">
        <v>1</v>
      </c>
      <c r="G336" s="247">
        <v>9</v>
      </c>
      <c r="H336" s="191">
        <v>1307</v>
      </c>
      <c r="I336" s="177">
        <v>327</v>
      </c>
      <c r="J336" s="170">
        <f t="shared" si="57"/>
        <v>327</v>
      </c>
      <c r="K336" s="192">
        <f t="shared" si="56"/>
        <v>3.996941896024465</v>
      </c>
      <c r="L336" s="193">
        <f>6832+2665+3612+1330+1973+129+396+2138.5+1307</f>
        <v>20382.5</v>
      </c>
      <c r="M336" s="169">
        <f>659+312+817+151+365+14+89+534+327</f>
        <v>3268</v>
      </c>
      <c r="N336" s="210">
        <f t="shared" si="58"/>
        <v>6.236995104039168</v>
      </c>
      <c r="O336" s="296"/>
    </row>
    <row r="337" spans="1:15" ht="15">
      <c r="A337" s="223">
        <v>333</v>
      </c>
      <c r="B337" s="383" t="s">
        <v>3</v>
      </c>
      <c r="C337" s="175">
        <v>40473</v>
      </c>
      <c r="D337" s="229" t="s">
        <v>118</v>
      </c>
      <c r="E337" s="247">
        <v>2</v>
      </c>
      <c r="F337" s="247">
        <v>1</v>
      </c>
      <c r="G337" s="247">
        <v>7</v>
      </c>
      <c r="H337" s="191">
        <v>396</v>
      </c>
      <c r="I337" s="177">
        <v>89</v>
      </c>
      <c r="J337" s="170">
        <f t="shared" si="57"/>
        <v>89</v>
      </c>
      <c r="K337" s="192">
        <f t="shared" si="56"/>
        <v>4.449438202247191</v>
      </c>
      <c r="L337" s="193">
        <f>6832+2665+3612+1330+1973+129+396</f>
        <v>16937</v>
      </c>
      <c r="M337" s="169">
        <f>659+312+817+151+365+14+89</f>
        <v>2407</v>
      </c>
      <c r="N337" s="210">
        <f t="shared" si="58"/>
        <v>7.036560033236394</v>
      </c>
      <c r="O337" s="297"/>
    </row>
    <row r="338" spans="1:15" ht="15">
      <c r="A338" s="223">
        <v>334</v>
      </c>
      <c r="B338" s="384" t="s">
        <v>3</v>
      </c>
      <c r="C338" s="175">
        <v>40473</v>
      </c>
      <c r="D338" s="229" t="s">
        <v>118</v>
      </c>
      <c r="E338" s="247">
        <v>2</v>
      </c>
      <c r="F338" s="247">
        <v>1</v>
      </c>
      <c r="G338" s="247">
        <v>6</v>
      </c>
      <c r="H338" s="304">
        <v>129</v>
      </c>
      <c r="I338" s="177">
        <v>14</v>
      </c>
      <c r="J338" s="170">
        <f t="shared" si="57"/>
        <v>14</v>
      </c>
      <c r="K338" s="311">
        <f t="shared" si="56"/>
        <v>9.214285714285714</v>
      </c>
      <c r="L338" s="184">
        <f>6832+2665+3612+1330+1973+129</f>
        <v>16541</v>
      </c>
      <c r="M338" s="169">
        <f>659+312+817+151+365+14</f>
        <v>2318</v>
      </c>
      <c r="N338" s="185">
        <f t="shared" si="58"/>
        <v>7.135893011216566</v>
      </c>
      <c r="O338" s="268"/>
    </row>
    <row r="339" spans="1:15" ht="15">
      <c r="A339" s="223">
        <v>335</v>
      </c>
      <c r="B339" s="371" t="s">
        <v>53</v>
      </c>
      <c r="C339" s="164">
        <v>40494</v>
      </c>
      <c r="D339" s="229" t="s">
        <v>118</v>
      </c>
      <c r="E339" s="241">
        <v>80</v>
      </c>
      <c r="F339" s="241">
        <v>13</v>
      </c>
      <c r="G339" s="241">
        <v>8</v>
      </c>
      <c r="H339" s="304">
        <v>11751.5</v>
      </c>
      <c r="I339" s="177">
        <v>2055</v>
      </c>
      <c r="J339" s="170">
        <f t="shared" si="57"/>
        <v>158.07692307692307</v>
      </c>
      <c r="K339" s="311">
        <f t="shared" si="56"/>
        <v>5.718491484184915</v>
      </c>
      <c r="L339" s="184">
        <f>400584.5+260220.5+91588.5+26738.5+6598.5+10112.5+8832+11751.5</f>
        <v>816426.5</v>
      </c>
      <c r="M339" s="169">
        <f>34427+24318+9929+5066+1310+1866+1322+2055</f>
        <v>80293</v>
      </c>
      <c r="N339" s="185">
        <f t="shared" si="58"/>
        <v>10.168090618111167</v>
      </c>
      <c r="O339" s="297"/>
    </row>
    <row r="340" spans="1:15" ht="15">
      <c r="A340" s="223">
        <v>336</v>
      </c>
      <c r="B340" s="371" t="s">
        <v>53</v>
      </c>
      <c r="C340" s="164">
        <v>40494</v>
      </c>
      <c r="D340" s="229" t="s">
        <v>118</v>
      </c>
      <c r="E340" s="241">
        <v>80</v>
      </c>
      <c r="F340" s="241">
        <v>1</v>
      </c>
      <c r="G340" s="241">
        <v>11</v>
      </c>
      <c r="H340" s="191">
        <v>3564</v>
      </c>
      <c r="I340" s="177">
        <v>891</v>
      </c>
      <c r="J340" s="170">
        <f t="shared" si="57"/>
        <v>891</v>
      </c>
      <c r="K340" s="192">
        <f t="shared" si="56"/>
        <v>4</v>
      </c>
      <c r="L340" s="193">
        <f>400584.5+260220.5+91588.5+26738.5+6598.5+10112.5+8832+11751.5+1782+1570.5+3564</f>
        <v>823343</v>
      </c>
      <c r="M340" s="169">
        <f>34427+24318+9929+5066+1310+1866+1322+2055+445+470+891</f>
        <v>82099</v>
      </c>
      <c r="N340" s="210">
        <f t="shared" si="58"/>
        <v>10.02866051961656</v>
      </c>
      <c r="O340" s="268"/>
    </row>
    <row r="341" spans="1:15" ht="15">
      <c r="A341" s="223">
        <v>337</v>
      </c>
      <c r="B341" s="205" t="s">
        <v>53</v>
      </c>
      <c r="C341" s="164">
        <v>40494</v>
      </c>
      <c r="D341" s="229" t="s">
        <v>118</v>
      </c>
      <c r="E341" s="241">
        <v>80</v>
      </c>
      <c r="F341" s="241">
        <v>1</v>
      </c>
      <c r="G341" s="241">
        <v>9</v>
      </c>
      <c r="H341" s="191">
        <v>1782</v>
      </c>
      <c r="I341" s="177">
        <v>445</v>
      </c>
      <c r="J341" s="170">
        <f t="shared" si="57"/>
        <v>445</v>
      </c>
      <c r="K341" s="192">
        <f t="shared" si="56"/>
        <v>4.004494382022472</v>
      </c>
      <c r="L341" s="193">
        <f>400584.5+260220.5+91588.5+26738.5+6598.5+10112.5+8832+11751.5+1782</f>
        <v>818208.5</v>
      </c>
      <c r="M341" s="169">
        <f>34427+24318+9929+5066+1310+1866+1322+2055+445</f>
        <v>80738</v>
      </c>
      <c r="N341" s="210">
        <f t="shared" si="58"/>
        <v>10.134119002204661</v>
      </c>
      <c r="O341" s="297"/>
    </row>
    <row r="342" spans="1:15" ht="15">
      <c r="A342" s="223">
        <v>338</v>
      </c>
      <c r="B342" s="372" t="s">
        <v>53</v>
      </c>
      <c r="C342" s="299">
        <v>40494</v>
      </c>
      <c r="D342" s="229" t="s">
        <v>118</v>
      </c>
      <c r="E342" s="301">
        <v>80</v>
      </c>
      <c r="F342" s="301">
        <v>2</v>
      </c>
      <c r="G342" s="301">
        <v>10</v>
      </c>
      <c r="H342" s="303">
        <v>1570.5</v>
      </c>
      <c r="I342" s="307">
        <v>470</v>
      </c>
      <c r="J342" s="308">
        <f t="shared" si="57"/>
        <v>235</v>
      </c>
      <c r="K342" s="310">
        <f t="shared" si="56"/>
        <v>3.3414893617021275</v>
      </c>
      <c r="L342" s="313">
        <f>400584.5+260220.5+91588.5+26738.5+6598.5+10112.5+8832+11751.5+1782+1570.5</f>
        <v>819779</v>
      </c>
      <c r="M342" s="314">
        <f>34427+24318+9929+5066+1310+1866+1322+2055+445+470</f>
        <v>81208</v>
      </c>
      <c r="N342" s="373">
        <f t="shared" si="58"/>
        <v>10.094805930450201</v>
      </c>
      <c r="O342" s="416"/>
    </row>
    <row r="343" spans="1:15" ht="15">
      <c r="A343" s="223">
        <v>339</v>
      </c>
      <c r="B343" s="205" t="s">
        <v>131</v>
      </c>
      <c r="C343" s="164">
        <v>40445</v>
      </c>
      <c r="D343" s="229" t="s">
        <v>118</v>
      </c>
      <c r="E343" s="241">
        <v>99</v>
      </c>
      <c r="F343" s="241">
        <v>1</v>
      </c>
      <c r="G343" s="241">
        <v>13</v>
      </c>
      <c r="H343" s="191">
        <v>966</v>
      </c>
      <c r="I343" s="177">
        <v>317</v>
      </c>
      <c r="J343" s="170">
        <f t="shared" si="57"/>
        <v>317</v>
      </c>
      <c r="K343" s="192">
        <f t="shared" si="56"/>
        <v>3.047318611987382</v>
      </c>
      <c r="L343" s="193">
        <f>321502+248658+168337.5+120626.5+93787.5+82596.5+8900+14133+4789+1421+2440+594+966</f>
        <v>1068751</v>
      </c>
      <c r="M343" s="169">
        <f>37510+29635+22309+17930+15012+11746+1292+2243+804+260+600+115+317</f>
        <v>139773</v>
      </c>
      <c r="N343" s="210">
        <f t="shared" si="58"/>
        <v>7.64633369821067</v>
      </c>
      <c r="O343" s="268">
        <v>1</v>
      </c>
    </row>
    <row r="344" spans="1:15" ht="15">
      <c r="A344" s="223">
        <v>340</v>
      </c>
      <c r="B344" s="240" t="s">
        <v>161</v>
      </c>
      <c r="C344" s="257">
        <v>40445</v>
      </c>
      <c r="D344" s="229" t="s">
        <v>118</v>
      </c>
      <c r="E344" s="230">
        <v>99</v>
      </c>
      <c r="F344" s="230">
        <v>1</v>
      </c>
      <c r="G344" s="230">
        <v>14</v>
      </c>
      <c r="H344" s="191">
        <v>678</v>
      </c>
      <c r="I344" s="177">
        <v>102</v>
      </c>
      <c r="J344" s="170">
        <f t="shared" si="57"/>
        <v>102</v>
      </c>
      <c r="K344" s="192">
        <f t="shared" si="56"/>
        <v>6.647058823529412</v>
      </c>
      <c r="L344" s="193">
        <f>321502+248658+168337.5+120626.5+93787.5+82596.5+8900+14133+4789+1421+2440+594+966+678</f>
        <v>1069429</v>
      </c>
      <c r="M344" s="169">
        <f>37510+29635+22309+17930+15012+11746+1292+2243+804+260+600+115+317+102</f>
        <v>139875</v>
      </c>
      <c r="N344" s="210">
        <f t="shared" si="58"/>
        <v>7.645605004468275</v>
      </c>
      <c r="O344" s="399">
        <v>1</v>
      </c>
    </row>
    <row r="345" spans="1:15" ht="15">
      <c r="A345" s="223">
        <v>341</v>
      </c>
      <c r="B345" s="205" t="s">
        <v>100</v>
      </c>
      <c r="C345" s="164">
        <v>40445</v>
      </c>
      <c r="D345" s="229" t="s">
        <v>118</v>
      </c>
      <c r="E345" s="241">
        <v>99</v>
      </c>
      <c r="F345" s="241">
        <v>1</v>
      </c>
      <c r="G345" s="241">
        <v>12</v>
      </c>
      <c r="H345" s="191">
        <v>594</v>
      </c>
      <c r="I345" s="177">
        <v>115</v>
      </c>
      <c r="J345" s="170">
        <f t="shared" si="57"/>
        <v>115</v>
      </c>
      <c r="K345" s="192">
        <f t="shared" si="56"/>
        <v>5.165217391304348</v>
      </c>
      <c r="L345" s="193">
        <f>321502+248658+168337.5+120626.5+93787.5+82596.5+8900+14133+4789+1421+2440+594</f>
        <v>1067785</v>
      </c>
      <c r="M345" s="169">
        <f>37510+29635+22309+17930+15012+11746+1292+2243+804+260+600+115</f>
        <v>139456</v>
      </c>
      <c r="N345" s="210">
        <f t="shared" si="58"/>
        <v>7.65678780403855</v>
      </c>
      <c r="O345" s="297">
        <v>1</v>
      </c>
    </row>
    <row r="346" spans="1:15" ht="15">
      <c r="A346" s="223">
        <v>342</v>
      </c>
      <c r="B346" s="371" t="s">
        <v>35</v>
      </c>
      <c r="C346" s="164">
        <v>40508</v>
      </c>
      <c r="D346" s="229" t="s">
        <v>118</v>
      </c>
      <c r="E346" s="241">
        <v>34</v>
      </c>
      <c r="F346" s="241">
        <v>17</v>
      </c>
      <c r="G346" s="241">
        <v>6</v>
      </c>
      <c r="H346" s="304">
        <v>14630.5</v>
      </c>
      <c r="I346" s="177">
        <v>2283</v>
      </c>
      <c r="J346" s="170">
        <f t="shared" si="57"/>
        <v>134.2941176470588</v>
      </c>
      <c r="K346" s="311">
        <f t="shared" si="56"/>
        <v>6.408453788874288</v>
      </c>
      <c r="L346" s="184">
        <f>122173+87330+23120+25637+29159.5+14630.5</f>
        <v>302050</v>
      </c>
      <c r="M346" s="169">
        <f>10588+8153+2702+3877+4807+2283</f>
        <v>32410</v>
      </c>
      <c r="N346" s="185">
        <f t="shared" si="58"/>
        <v>9.319654427645789</v>
      </c>
      <c r="O346" s="296"/>
    </row>
    <row r="347" spans="1:15" ht="15">
      <c r="A347" s="223">
        <v>343</v>
      </c>
      <c r="B347" s="205" t="s">
        <v>35</v>
      </c>
      <c r="C347" s="164">
        <v>40508</v>
      </c>
      <c r="D347" s="242" t="s">
        <v>118</v>
      </c>
      <c r="E347" s="241">
        <v>34</v>
      </c>
      <c r="F347" s="241">
        <v>1</v>
      </c>
      <c r="G347" s="241">
        <v>11</v>
      </c>
      <c r="H347" s="191">
        <v>1632.5</v>
      </c>
      <c r="I347" s="177">
        <v>203</v>
      </c>
      <c r="J347" s="170">
        <f t="shared" si="57"/>
        <v>203</v>
      </c>
      <c r="K347" s="192">
        <f t="shared" si="56"/>
        <v>8.041871921182265</v>
      </c>
      <c r="L347" s="193">
        <f>122173+87330+23120+25637+29159.5+14630.5+403+1246+229+767+1632.5</f>
        <v>306327.5</v>
      </c>
      <c r="M347" s="169">
        <f>10588+8153+2702+3877+4807+2283+58+199+33+115+203</f>
        <v>33018</v>
      </c>
      <c r="N347" s="210">
        <f t="shared" si="58"/>
        <v>9.277591010963716</v>
      </c>
      <c r="O347" s="425"/>
    </row>
    <row r="348" spans="1:15" ht="15">
      <c r="A348" s="223">
        <v>344</v>
      </c>
      <c r="B348" s="371" t="s">
        <v>35</v>
      </c>
      <c r="C348" s="164">
        <v>40508</v>
      </c>
      <c r="D348" s="229" t="s">
        <v>118</v>
      </c>
      <c r="E348" s="241">
        <v>34</v>
      </c>
      <c r="F348" s="241">
        <v>2</v>
      </c>
      <c r="G348" s="241">
        <v>8</v>
      </c>
      <c r="H348" s="191">
        <v>1246</v>
      </c>
      <c r="I348" s="177">
        <v>199</v>
      </c>
      <c r="J348" s="170">
        <f t="shared" si="57"/>
        <v>99.5</v>
      </c>
      <c r="K348" s="192">
        <f t="shared" si="56"/>
        <v>6.261306532663316</v>
      </c>
      <c r="L348" s="193">
        <f>122173+87330+23120+25637+29159.5+14630.5+403+1246</f>
        <v>303699</v>
      </c>
      <c r="M348" s="169">
        <f>10588+8153+2702+3877+4807+2283+58+199</f>
        <v>32667</v>
      </c>
      <c r="N348" s="210">
        <f t="shared" si="58"/>
        <v>9.296813297823492</v>
      </c>
      <c r="O348" s="268"/>
    </row>
    <row r="349" spans="1:15" ht="15">
      <c r="A349" s="223">
        <v>345</v>
      </c>
      <c r="B349" s="205" t="s">
        <v>35</v>
      </c>
      <c r="C349" s="164">
        <v>40508</v>
      </c>
      <c r="D349" s="242" t="s">
        <v>118</v>
      </c>
      <c r="E349" s="241">
        <v>34</v>
      </c>
      <c r="F349" s="241">
        <v>1</v>
      </c>
      <c r="G349" s="241">
        <v>10</v>
      </c>
      <c r="H349" s="191">
        <v>767</v>
      </c>
      <c r="I349" s="177">
        <v>115</v>
      </c>
      <c r="J349" s="170">
        <f t="shared" si="57"/>
        <v>115</v>
      </c>
      <c r="K349" s="192">
        <f t="shared" si="56"/>
        <v>6.6695652173913045</v>
      </c>
      <c r="L349" s="193">
        <f>122173+87330+23120+25637+29159.5+14630.5+403+1246+229+767</f>
        <v>304695</v>
      </c>
      <c r="M349" s="169">
        <f>10588+8153+2702+3877+4807+2283+58+199+33+115</f>
        <v>32815</v>
      </c>
      <c r="N349" s="210">
        <f t="shared" si="58"/>
        <v>9.28523541063538</v>
      </c>
      <c r="O349" s="296"/>
    </row>
    <row r="350" spans="1:15" ht="15">
      <c r="A350" s="223">
        <v>346</v>
      </c>
      <c r="B350" s="372" t="s">
        <v>35</v>
      </c>
      <c r="C350" s="299">
        <v>40508</v>
      </c>
      <c r="D350" s="421" t="s">
        <v>118</v>
      </c>
      <c r="E350" s="301">
        <v>34</v>
      </c>
      <c r="F350" s="301">
        <v>1</v>
      </c>
      <c r="G350" s="301">
        <v>13</v>
      </c>
      <c r="H350" s="191">
        <v>462</v>
      </c>
      <c r="I350" s="177">
        <v>77</v>
      </c>
      <c r="J350" s="170">
        <f t="shared" si="57"/>
        <v>77</v>
      </c>
      <c r="K350" s="192">
        <f t="shared" si="56"/>
        <v>6</v>
      </c>
      <c r="L350" s="193">
        <f>122173+87330+23120+25637+29159.5+14630.5+403+1246+229+767+1632.5+402+462</f>
        <v>307191.5</v>
      </c>
      <c r="M350" s="169">
        <f>10588+8153+2702+3877+4807+2283+58+199+33+115+203+67+77</f>
        <v>33162</v>
      </c>
      <c r="N350" s="210">
        <f t="shared" si="58"/>
        <v>9.263358663530546</v>
      </c>
      <c r="O350" s="424"/>
    </row>
    <row r="351" spans="1:15" ht="15">
      <c r="A351" s="223">
        <v>347</v>
      </c>
      <c r="B351" s="205" t="s">
        <v>35</v>
      </c>
      <c r="C351" s="164">
        <v>40508</v>
      </c>
      <c r="D351" s="229" t="s">
        <v>118</v>
      </c>
      <c r="E351" s="241">
        <v>34</v>
      </c>
      <c r="F351" s="241">
        <v>1</v>
      </c>
      <c r="G351" s="241">
        <v>7</v>
      </c>
      <c r="H351" s="191">
        <v>403</v>
      </c>
      <c r="I351" s="177">
        <v>58</v>
      </c>
      <c r="J351" s="170">
        <f t="shared" si="57"/>
        <v>58</v>
      </c>
      <c r="K351" s="192">
        <f t="shared" si="56"/>
        <v>6.948275862068965</v>
      </c>
      <c r="L351" s="193">
        <f>122173+87330+23120+25637+29159.5+14630.5+403</f>
        <v>302453</v>
      </c>
      <c r="M351" s="169">
        <f>10588+8153+2702+3877+4807+2283+58</f>
        <v>32468</v>
      </c>
      <c r="N351" s="210">
        <f t="shared" si="58"/>
        <v>9.315418257977084</v>
      </c>
      <c r="O351" s="297"/>
    </row>
    <row r="352" spans="1:15" ht="15">
      <c r="A352" s="223">
        <v>348</v>
      </c>
      <c r="B352" s="240" t="s">
        <v>35</v>
      </c>
      <c r="C352" s="400">
        <v>40508</v>
      </c>
      <c r="D352" s="229" t="s">
        <v>212</v>
      </c>
      <c r="E352" s="230">
        <v>34</v>
      </c>
      <c r="F352" s="230">
        <v>1</v>
      </c>
      <c r="G352" s="230">
        <v>12</v>
      </c>
      <c r="H352" s="191">
        <v>402</v>
      </c>
      <c r="I352" s="177">
        <v>67</v>
      </c>
      <c r="J352" s="170">
        <f t="shared" si="57"/>
        <v>67</v>
      </c>
      <c r="K352" s="401">
        <f t="shared" si="56"/>
        <v>6</v>
      </c>
      <c r="L352" s="193">
        <f>122173+87330+23120+25637+29159.5+14630.5+403+1246+229+767+1632.5+402</f>
        <v>306729.5</v>
      </c>
      <c r="M352" s="169">
        <f>10588+8153+2702+3877+4807+2283+58+199+33+115+203+67</f>
        <v>33085</v>
      </c>
      <c r="N352" s="409">
        <f t="shared" si="58"/>
        <v>9.270953604352426</v>
      </c>
      <c r="O352" s="411"/>
    </row>
    <row r="353" spans="1:15" ht="15">
      <c r="A353" s="223">
        <v>349</v>
      </c>
      <c r="B353" s="240" t="s">
        <v>35</v>
      </c>
      <c r="C353" s="257">
        <v>40508</v>
      </c>
      <c r="D353" s="229" t="s">
        <v>118</v>
      </c>
      <c r="E353" s="230">
        <v>34</v>
      </c>
      <c r="F353" s="230">
        <v>1</v>
      </c>
      <c r="G353" s="230">
        <v>9</v>
      </c>
      <c r="H353" s="304">
        <v>229</v>
      </c>
      <c r="I353" s="315">
        <v>33</v>
      </c>
      <c r="J353" s="316">
        <f t="shared" si="57"/>
        <v>33</v>
      </c>
      <c r="K353" s="311">
        <f t="shared" si="56"/>
        <v>6.9393939393939394</v>
      </c>
      <c r="L353" s="184">
        <f>122173+87330+23120+25637+29159.5+14630.5+403+1246+229</f>
        <v>303928</v>
      </c>
      <c r="M353" s="266">
        <f>10588+8153+2702+3877+4807+2283+58+199+33</f>
        <v>32700</v>
      </c>
      <c r="N353" s="185">
        <f t="shared" si="58"/>
        <v>9.294434250764526</v>
      </c>
      <c r="O353" s="399"/>
    </row>
    <row r="354" spans="1:15" ht="15">
      <c r="A354" s="223">
        <v>350</v>
      </c>
      <c r="B354" s="240" t="s">
        <v>110</v>
      </c>
      <c r="C354" s="164">
        <v>40487</v>
      </c>
      <c r="D354" s="229" t="s">
        <v>26</v>
      </c>
      <c r="E354" s="230">
        <v>162</v>
      </c>
      <c r="F354" s="230">
        <v>2</v>
      </c>
      <c r="G354" s="230">
        <v>10</v>
      </c>
      <c r="H354" s="186">
        <v>1340</v>
      </c>
      <c r="I354" s="178">
        <v>198</v>
      </c>
      <c r="J354" s="168">
        <f>IF(H354&lt;&gt;0,I354/F354,"")</f>
        <v>99</v>
      </c>
      <c r="K354" s="195">
        <f>IF(H354&lt;&gt;0,H354/I354,"")</f>
        <v>6.767676767676767</v>
      </c>
      <c r="L354" s="187">
        <f>525983.5+915356-20+520720.5+229861+37809.5+41066.5+9062.5+5020+8527+1340</f>
        <v>2294726.5</v>
      </c>
      <c r="M354" s="165">
        <f>56225+93965-2+58841+28041+5233+5910+1474+785+1182+198</f>
        <v>251852</v>
      </c>
      <c r="N354" s="212">
        <f>IF(L354&lt;&gt;0,L354/M354,"")</f>
        <v>9.111408684465479</v>
      </c>
      <c r="O354" s="399"/>
    </row>
    <row r="355" spans="1:15" ht="15">
      <c r="A355" s="223">
        <v>351</v>
      </c>
      <c r="B355" s="371" t="s">
        <v>76</v>
      </c>
      <c r="C355" s="164">
        <v>40487</v>
      </c>
      <c r="D355" s="298" t="s">
        <v>26</v>
      </c>
      <c r="E355" s="241">
        <v>162</v>
      </c>
      <c r="F355" s="241">
        <v>8</v>
      </c>
      <c r="G355" s="241">
        <v>9</v>
      </c>
      <c r="H355" s="305">
        <v>8527</v>
      </c>
      <c r="I355" s="178">
        <v>1182</v>
      </c>
      <c r="J355" s="168">
        <f>IF(H355&lt;&gt;0,I355/F355,"")</f>
        <v>147.75</v>
      </c>
      <c r="K355" s="326">
        <f>IF(H355&lt;&gt;0,H355/I355,"")</f>
        <v>7.214043993231811</v>
      </c>
      <c r="L355" s="253">
        <f>525983.5+915356-20+520720.5+229861+37809.5+41066.5+9062.5+5020+8527</f>
        <v>2293386.5</v>
      </c>
      <c r="M355" s="165">
        <f>56225+93965-2+58841+28041+5233+5910+1474+785+1182</f>
        <v>251654</v>
      </c>
      <c r="N355" s="376">
        <f>IF(L355&lt;&gt;0,L355/M355,"")</f>
        <v>9.11325272000445</v>
      </c>
      <c r="O355" s="268"/>
    </row>
    <row r="356" spans="1:15" ht="15">
      <c r="A356" s="223">
        <v>352</v>
      </c>
      <c r="B356" s="205" t="s">
        <v>76</v>
      </c>
      <c r="C356" s="164">
        <v>40487</v>
      </c>
      <c r="D356" s="242" t="s">
        <v>26</v>
      </c>
      <c r="E356" s="241">
        <v>162</v>
      </c>
      <c r="F356" s="241">
        <v>1</v>
      </c>
      <c r="G356" s="241">
        <v>12</v>
      </c>
      <c r="H356" s="186">
        <v>1941</v>
      </c>
      <c r="I356" s="178">
        <v>388</v>
      </c>
      <c r="J356" s="165">
        <f>I356/F356</f>
        <v>388</v>
      </c>
      <c r="K356" s="200">
        <f>+H356/I356</f>
        <v>5.002577319587629</v>
      </c>
      <c r="L356" s="187">
        <f>525983.5+915356-20+520720.5+229861+37809.5+41066.5+9062.5+5020+8527+1340+1644+1941</f>
        <v>2298311.5</v>
      </c>
      <c r="M356" s="165">
        <f>56225+93965-2+58841+28041+5233+5910+1474+785+1182+198+319+388</f>
        <v>252559</v>
      </c>
      <c r="N356" s="208">
        <f>+L356/M356</f>
        <v>9.100097402983065</v>
      </c>
      <c r="O356" s="268">
        <v>1</v>
      </c>
    </row>
    <row r="357" spans="1:15" ht="15">
      <c r="A357" s="223">
        <v>353</v>
      </c>
      <c r="B357" s="377" t="s">
        <v>123</v>
      </c>
      <c r="C357" s="173">
        <v>40487</v>
      </c>
      <c r="D357" s="246" t="s">
        <v>26</v>
      </c>
      <c r="E357" s="241">
        <v>162</v>
      </c>
      <c r="F357" s="241">
        <v>3</v>
      </c>
      <c r="G357" s="241">
        <v>11</v>
      </c>
      <c r="H357" s="199">
        <v>1644</v>
      </c>
      <c r="I357" s="178">
        <v>319</v>
      </c>
      <c r="J357" s="170">
        <f>(I357/F357)</f>
        <v>106.33333333333333</v>
      </c>
      <c r="K357" s="192">
        <f>H357/I357</f>
        <v>5.153605015673981</v>
      </c>
      <c r="L357" s="201">
        <f>525983.5+915356-20+520720.5+229861+37809.5+41066.5+9062.5+5020+8527+1340+1644</f>
        <v>2296370.5</v>
      </c>
      <c r="M357" s="174">
        <f>56225+93965-2+58841+28041+5233+5910+1474+785+1182+198+319</f>
        <v>252171</v>
      </c>
      <c r="N357" s="210">
        <f>L357/M357</f>
        <v>9.106402004988679</v>
      </c>
      <c r="O357" s="268">
        <v>1</v>
      </c>
    </row>
    <row r="358" spans="1:15" ht="15">
      <c r="A358" s="223">
        <v>354</v>
      </c>
      <c r="B358" s="205" t="s">
        <v>76</v>
      </c>
      <c r="C358" s="164">
        <v>40487</v>
      </c>
      <c r="D358" s="242" t="s">
        <v>26</v>
      </c>
      <c r="E358" s="241">
        <v>162</v>
      </c>
      <c r="F358" s="241">
        <v>1</v>
      </c>
      <c r="G358" s="241">
        <v>16</v>
      </c>
      <c r="H358" s="186">
        <v>1503</v>
      </c>
      <c r="I358" s="178">
        <v>288</v>
      </c>
      <c r="J358" s="251">
        <v>19.8181818181821</v>
      </c>
      <c r="K358" s="252">
        <v>6.92102754237288</v>
      </c>
      <c r="L358" s="187">
        <f>525983.5+915356-20+520720.5+229861+37809.5+41066.5+9062.5+5020+8527+1340+1644+1941+1056+313+102+1503</f>
        <v>2301285.5</v>
      </c>
      <c r="M358" s="165">
        <f>56225+93965-2+58841+28041+5233+5910+1474+785+1182+198+319+388+171+52+17+288</f>
        <v>253087</v>
      </c>
      <c r="N358" s="267">
        <v>2.1488509451776</v>
      </c>
      <c r="O358" s="296">
        <v>1</v>
      </c>
    </row>
    <row r="359" spans="1:15" ht="15">
      <c r="A359" s="223">
        <v>355</v>
      </c>
      <c r="B359" s="238" t="s">
        <v>123</v>
      </c>
      <c r="C359" s="329">
        <v>40487</v>
      </c>
      <c r="D359" s="563" t="s">
        <v>26</v>
      </c>
      <c r="E359" s="330">
        <v>162</v>
      </c>
      <c r="F359" s="330">
        <v>1</v>
      </c>
      <c r="G359" s="330">
        <v>13</v>
      </c>
      <c r="H359" s="564">
        <v>1056</v>
      </c>
      <c r="I359" s="332">
        <v>171</v>
      </c>
      <c r="J359" s="562">
        <f>I359/F359</f>
        <v>171</v>
      </c>
      <c r="K359" s="565">
        <f>H359/I359</f>
        <v>6.175438596491228</v>
      </c>
      <c r="L359" s="566">
        <f>525983.5+915356-20+520720.5+229861+37809.5+41066.5+9062.5+5020+8527+1340+1644+1941+1056</f>
        <v>2299367.5</v>
      </c>
      <c r="M359" s="228">
        <f>56225+93965-2+58841+28041+5233+5910+1474+785+1182+198+319+388+171</f>
        <v>252730</v>
      </c>
      <c r="N359" s="567">
        <f>L359/M359</f>
        <v>9.098118545483322</v>
      </c>
      <c r="O359" s="414">
        <v>1</v>
      </c>
    </row>
    <row r="360" spans="1:15" ht="15">
      <c r="A360" s="223">
        <v>356</v>
      </c>
      <c r="B360" s="240" t="s">
        <v>76</v>
      </c>
      <c r="C360" s="258">
        <v>40487</v>
      </c>
      <c r="D360" s="328" t="s">
        <v>26</v>
      </c>
      <c r="E360" s="233">
        <v>162</v>
      </c>
      <c r="F360" s="233">
        <v>1</v>
      </c>
      <c r="G360" s="233">
        <v>14</v>
      </c>
      <c r="H360" s="199">
        <v>313</v>
      </c>
      <c r="I360" s="178">
        <v>52</v>
      </c>
      <c r="J360" s="168">
        <f>+I360/F360</f>
        <v>52</v>
      </c>
      <c r="K360" s="195">
        <f>+H360/I360</f>
        <v>6.019230769230769</v>
      </c>
      <c r="L360" s="201">
        <f>525983.5+915356-20+520720.5+229861+37809.5+41066.5+9062.5+5020+8527+1340+1644+1941+1056+313</f>
        <v>2299680.5</v>
      </c>
      <c r="M360" s="174">
        <f>56225+93965-2+58841+28041+5233+5910+1474+785+1182+198+319+388+171+52</f>
        <v>252782</v>
      </c>
      <c r="N360" s="212">
        <f>+L360/M360</f>
        <v>9.097485184862846</v>
      </c>
      <c r="O360" s="399">
        <v>1</v>
      </c>
    </row>
    <row r="361" spans="1:15" ht="15">
      <c r="A361" s="223">
        <v>357</v>
      </c>
      <c r="B361" s="240" t="s">
        <v>76</v>
      </c>
      <c r="C361" s="258">
        <v>40487</v>
      </c>
      <c r="D361" s="328" t="s">
        <v>26</v>
      </c>
      <c r="E361" s="233">
        <v>162</v>
      </c>
      <c r="F361" s="233">
        <v>1</v>
      </c>
      <c r="G361" s="233">
        <v>15</v>
      </c>
      <c r="H361" s="335">
        <v>102</v>
      </c>
      <c r="I361" s="355">
        <v>17</v>
      </c>
      <c r="J361" s="345">
        <f>+I361/F361</f>
        <v>17</v>
      </c>
      <c r="K361" s="326">
        <f>+H361/I361</f>
        <v>6</v>
      </c>
      <c r="L361" s="253">
        <f>525983.5+915356-20+520720.5+229861+37809.5+41066.5+9062.5+5020+8527+1340+1644+1941+1056+313+102</f>
        <v>2299782.5</v>
      </c>
      <c r="M361" s="265">
        <f>56225+93965-2+58841+28041+5233+5910+1474+785+1182+198+319+388+171+52+17</f>
        <v>252799</v>
      </c>
      <c r="N361" s="376">
        <f>+L361/M361</f>
        <v>9.097276887962373</v>
      </c>
      <c r="O361" s="399">
        <v>1</v>
      </c>
    </row>
    <row r="362" spans="1:15" ht="15">
      <c r="A362" s="223">
        <v>358</v>
      </c>
      <c r="B362" s="209" t="s">
        <v>134</v>
      </c>
      <c r="C362" s="173">
        <v>40235</v>
      </c>
      <c r="D362" s="328" t="s">
        <v>118</v>
      </c>
      <c r="E362" s="241">
        <v>227</v>
      </c>
      <c r="F362" s="241">
        <v>1</v>
      </c>
      <c r="G362" s="241">
        <v>30</v>
      </c>
      <c r="H362" s="191">
        <v>950.5</v>
      </c>
      <c r="I362" s="177">
        <v>238</v>
      </c>
      <c r="J362" s="170">
        <f aca="true" t="shared" si="59" ref="J362:J370">(I362/F362)</f>
        <v>238</v>
      </c>
      <c r="K362" s="192">
        <f aca="true" t="shared" si="60" ref="K362:K370">H362/I362</f>
        <v>3.9936974789915967</v>
      </c>
      <c r="L362" s="193">
        <f>8240207.5+202+255+7892+2376+1782+1782+2376+950.5</f>
        <v>8257823</v>
      </c>
      <c r="M362" s="169">
        <f>1023896+40+51+1967+594+445+445+594+238</f>
        <v>1028270</v>
      </c>
      <c r="N362" s="210">
        <f aca="true" t="shared" si="61" ref="N362:N370">L362/M362</f>
        <v>8.030792496134284</v>
      </c>
      <c r="O362" s="268">
        <v>1</v>
      </c>
    </row>
    <row r="363" spans="1:15" ht="15">
      <c r="A363" s="223">
        <v>359</v>
      </c>
      <c r="B363" s="372" t="s">
        <v>21</v>
      </c>
      <c r="C363" s="299">
        <v>40480</v>
      </c>
      <c r="D363" s="328" t="s">
        <v>118</v>
      </c>
      <c r="E363" s="301">
        <v>100</v>
      </c>
      <c r="F363" s="301">
        <v>4</v>
      </c>
      <c r="G363" s="301">
        <v>15</v>
      </c>
      <c r="H363" s="303">
        <v>8910</v>
      </c>
      <c r="I363" s="307">
        <v>2228</v>
      </c>
      <c r="J363" s="308">
        <f t="shared" si="59"/>
        <v>557</v>
      </c>
      <c r="K363" s="310">
        <f t="shared" si="60"/>
        <v>3.9991023339317775</v>
      </c>
      <c r="L363" s="313">
        <f>1221166+429124.5+378100+240009.5+108018.5+26890.5+15319+16968+7345.5+4160+1262+1510+3920.5+2732.5+8910</f>
        <v>2465436.5</v>
      </c>
      <c r="M363" s="314">
        <f>114702+40612+35598+23284+12543+4168+3055+2661+1161+850+210+377+981+684+2228</f>
        <v>243114</v>
      </c>
      <c r="N363" s="373">
        <f t="shared" si="61"/>
        <v>10.141071678307297</v>
      </c>
      <c r="O363" s="414"/>
    </row>
    <row r="364" spans="1:15" ht="15">
      <c r="A364" s="223">
        <v>360</v>
      </c>
      <c r="B364" s="377" t="s">
        <v>21</v>
      </c>
      <c r="C364" s="173">
        <v>40480</v>
      </c>
      <c r="D364" s="328" t="s">
        <v>118</v>
      </c>
      <c r="E364" s="241">
        <v>100</v>
      </c>
      <c r="F364" s="241">
        <v>11</v>
      </c>
      <c r="G364" s="241">
        <v>10</v>
      </c>
      <c r="H364" s="304">
        <v>4160</v>
      </c>
      <c r="I364" s="177">
        <v>850</v>
      </c>
      <c r="J364" s="170">
        <f t="shared" si="59"/>
        <v>77.27272727272727</v>
      </c>
      <c r="K364" s="311">
        <f t="shared" si="60"/>
        <v>4.894117647058824</v>
      </c>
      <c r="L364" s="184">
        <f>1221166+429124.5+378100+240009.5+108018.5+26890.5+15319+16968+7345.5+4160</f>
        <v>2447101.5</v>
      </c>
      <c r="M364" s="169">
        <f>114702+40612+35598+23284+12543+4168+3055+2661+1161+850</f>
        <v>238634</v>
      </c>
      <c r="N364" s="185">
        <f t="shared" si="61"/>
        <v>10.254622141019302</v>
      </c>
      <c r="O364" s="268">
        <v>1</v>
      </c>
    </row>
    <row r="365" spans="1:15" ht="15">
      <c r="A365" s="223">
        <v>361</v>
      </c>
      <c r="B365" s="209" t="s">
        <v>21</v>
      </c>
      <c r="C365" s="173">
        <v>40480</v>
      </c>
      <c r="D365" s="328" t="s">
        <v>118</v>
      </c>
      <c r="E365" s="241">
        <v>100</v>
      </c>
      <c r="F365" s="241">
        <v>2</v>
      </c>
      <c r="G365" s="241">
        <v>13</v>
      </c>
      <c r="H365" s="191">
        <v>3920.5</v>
      </c>
      <c r="I365" s="177">
        <v>982</v>
      </c>
      <c r="J365" s="170">
        <f t="shared" si="59"/>
        <v>491</v>
      </c>
      <c r="K365" s="192">
        <f t="shared" si="60"/>
        <v>3.9923625254582484</v>
      </c>
      <c r="L365" s="193">
        <f>1221166+429124.5+378100+240009.5+108018.5+26890.5+15319+16968+7345.5+4160+1262+1510+3920.5</f>
        <v>2453794</v>
      </c>
      <c r="M365" s="169">
        <f>114702+40612+35598+23284+12543+4168+3055+2661+1161+850+210+377+982</f>
        <v>240203</v>
      </c>
      <c r="N365" s="210">
        <f t="shared" si="61"/>
        <v>10.215501055357343</v>
      </c>
      <c r="O365" s="268"/>
    </row>
    <row r="366" spans="1:15" ht="15">
      <c r="A366" s="223">
        <v>362</v>
      </c>
      <c r="B366" s="240" t="s">
        <v>21</v>
      </c>
      <c r="C366" s="173">
        <v>40480</v>
      </c>
      <c r="D366" s="328" t="s">
        <v>118</v>
      </c>
      <c r="E366" s="233">
        <v>100</v>
      </c>
      <c r="F366" s="233">
        <v>2</v>
      </c>
      <c r="G366" s="233">
        <v>14</v>
      </c>
      <c r="H366" s="191">
        <v>2732.5</v>
      </c>
      <c r="I366" s="177">
        <v>684</v>
      </c>
      <c r="J366" s="170">
        <f t="shared" si="59"/>
        <v>342</v>
      </c>
      <c r="K366" s="192">
        <f t="shared" si="60"/>
        <v>3.9948830409356724</v>
      </c>
      <c r="L366" s="193">
        <f>1221166+429124.5+378100+240009.5+108018.5+26890.5+15319+16968+7345.5+4160+1262+1510+3920.5+2732.5</f>
        <v>2456526.5</v>
      </c>
      <c r="M366" s="169">
        <f>114702+40612+35598+23284+12543+4168+3055+2661+1161+850+210+377+981+684</f>
        <v>240886</v>
      </c>
      <c r="N366" s="210">
        <f t="shared" si="61"/>
        <v>10.197879909998921</v>
      </c>
      <c r="O366" s="415"/>
    </row>
    <row r="367" spans="1:15" ht="15">
      <c r="A367" s="223">
        <v>363</v>
      </c>
      <c r="B367" s="372" t="s">
        <v>21</v>
      </c>
      <c r="C367" s="299">
        <v>40480</v>
      </c>
      <c r="D367" s="328" t="s">
        <v>118</v>
      </c>
      <c r="E367" s="301">
        <v>100</v>
      </c>
      <c r="F367" s="301">
        <v>1</v>
      </c>
      <c r="G367" s="301">
        <v>12</v>
      </c>
      <c r="H367" s="303">
        <v>1510</v>
      </c>
      <c r="I367" s="307">
        <v>377</v>
      </c>
      <c r="J367" s="308">
        <f t="shared" si="59"/>
        <v>377</v>
      </c>
      <c r="K367" s="310">
        <f t="shared" si="60"/>
        <v>4.005305039787799</v>
      </c>
      <c r="L367" s="313">
        <f>1221166+429124.5+378100+240009.5+108018.5+26890.5+15319+16968+7345.5+4160+1262+1510</f>
        <v>2449873.5</v>
      </c>
      <c r="M367" s="314">
        <f>114702+40612+35598+23284+12543+4168+3055+2661+1161+850+210+377</f>
        <v>239221</v>
      </c>
      <c r="N367" s="373">
        <f t="shared" si="61"/>
        <v>10.24104698166131</v>
      </c>
      <c r="O367" s="416"/>
    </row>
    <row r="368" spans="1:15" ht="15">
      <c r="A368" s="223">
        <v>364</v>
      </c>
      <c r="B368" s="209" t="s">
        <v>21</v>
      </c>
      <c r="C368" s="173">
        <v>40480</v>
      </c>
      <c r="D368" s="328" t="s">
        <v>118</v>
      </c>
      <c r="E368" s="241">
        <v>100</v>
      </c>
      <c r="F368" s="241">
        <v>2</v>
      </c>
      <c r="G368" s="241">
        <v>11</v>
      </c>
      <c r="H368" s="191">
        <v>1262</v>
      </c>
      <c r="I368" s="177">
        <v>210</v>
      </c>
      <c r="J368" s="170">
        <f t="shared" si="59"/>
        <v>105</v>
      </c>
      <c r="K368" s="192">
        <f t="shared" si="60"/>
        <v>6.0095238095238095</v>
      </c>
      <c r="L368" s="193">
        <f>1221166+429124.5+378100+240009.5+108018.5+26890.5+15319+16968+7345.5+4160+1262</f>
        <v>2448363.5</v>
      </c>
      <c r="M368" s="169">
        <f>114702+40612+35598+23284+12543+4168+3055+2661+1161+850+210</f>
        <v>238844</v>
      </c>
      <c r="N368" s="210">
        <f t="shared" si="61"/>
        <v>10.250889702064946</v>
      </c>
      <c r="O368" s="297"/>
    </row>
    <row r="369" spans="1:15" ht="15">
      <c r="A369" s="223">
        <v>365</v>
      </c>
      <c r="B369" s="209" t="s">
        <v>21</v>
      </c>
      <c r="C369" s="173">
        <v>40480</v>
      </c>
      <c r="D369" s="246" t="s">
        <v>118</v>
      </c>
      <c r="E369" s="241">
        <v>100</v>
      </c>
      <c r="F369" s="241">
        <v>1</v>
      </c>
      <c r="G369" s="241">
        <v>17</v>
      </c>
      <c r="H369" s="191">
        <v>670</v>
      </c>
      <c r="I369" s="177">
        <v>109</v>
      </c>
      <c r="J369" s="170">
        <f t="shared" si="59"/>
        <v>109</v>
      </c>
      <c r="K369" s="192">
        <f t="shared" si="60"/>
        <v>6.146788990825688</v>
      </c>
      <c r="L369" s="193">
        <f>1221166+429124.5+378100+240009.5+108018.5+26890.5+15319+16968+7345.5+4160+1262+1510+3920.5+2732.5+8910+571+670</f>
        <v>2466677.5</v>
      </c>
      <c r="M369" s="169">
        <f>114702+40612+35598+23284+12543+4168+3055+2661+1161+850+210+377+981+684+2228+92+109</f>
        <v>243315</v>
      </c>
      <c r="N369" s="210">
        <f t="shared" si="61"/>
        <v>10.13779462836241</v>
      </c>
      <c r="O369" s="268"/>
    </row>
    <row r="370" spans="1:15" ht="15">
      <c r="A370" s="223">
        <v>366</v>
      </c>
      <c r="B370" s="209" t="s">
        <v>21</v>
      </c>
      <c r="C370" s="173">
        <v>40480</v>
      </c>
      <c r="D370" s="246" t="s">
        <v>118</v>
      </c>
      <c r="E370" s="241">
        <v>100</v>
      </c>
      <c r="F370" s="241">
        <v>1</v>
      </c>
      <c r="G370" s="241">
        <v>16</v>
      </c>
      <c r="H370" s="191">
        <v>571</v>
      </c>
      <c r="I370" s="177">
        <v>92</v>
      </c>
      <c r="J370" s="170">
        <f t="shared" si="59"/>
        <v>92</v>
      </c>
      <c r="K370" s="192">
        <f t="shared" si="60"/>
        <v>6.206521739130435</v>
      </c>
      <c r="L370" s="193">
        <f>1221166+429124.5+378100+240009.5+108018.5+26890.5+15319+16968+7345.5+4160+1262+1510+3920.5+2732.5+8910+571</f>
        <v>2466007.5</v>
      </c>
      <c r="M370" s="169">
        <f>114702+40612+35598+23284+12543+4168+3055+2661+1161+850+210+377+981+684+2228+92</f>
        <v>243206</v>
      </c>
      <c r="N370" s="210">
        <f t="shared" si="61"/>
        <v>10.139583316201081</v>
      </c>
      <c r="O370" s="296"/>
    </row>
    <row r="371" spans="1:15" ht="15">
      <c r="A371" s="223">
        <v>367</v>
      </c>
      <c r="B371" s="486" t="s">
        <v>36</v>
      </c>
      <c r="C371" s="173">
        <v>40508</v>
      </c>
      <c r="D371" s="300" t="s">
        <v>23</v>
      </c>
      <c r="E371" s="241">
        <v>11</v>
      </c>
      <c r="F371" s="241">
        <v>3</v>
      </c>
      <c r="G371" s="241">
        <v>6</v>
      </c>
      <c r="H371" s="335">
        <v>3343</v>
      </c>
      <c r="I371" s="178">
        <v>754</v>
      </c>
      <c r="J371" s="174">
        <f>I371/F371</f>
        <v>251.33333333333334</v>
      </c>
      <c r="K371" s="480">
        <f>+H371/I371</f>
        <v>4.43368700265252</v>
      </c>
      <c r="L371" s="253">
        <v>107677</v>
      </c>
      <c r="M371" s="174">
        <v>8838</v>
      </c>
      <c r="N371" s="254">
        <f>+L371/M371</f>
        <v>12.183412536773025</v>
      </c>
      <c r="O371" s="268">
        <v>1</v>
      </c>
    </row>
    <row r="372" spans="1:15" ht="15.75" thickBot="1">
      <c r="A372" s="223">
        <v>368</v>
      </c>
      <c r="B372" s="487" t="s">
        <v>36</v>
      </c>
      <c r="C372" s="488">
        <v>40508</v>
      </c>
      <c r="D372" s="489" t="s">
        <v>23</v>
      </c>
      <c r="E372" s="490">
        <v>11</v>
      </c>
      <c r="F372" s="490">
        <v>1</v>
      </c>
      <c r="G372" s="490">
        <v>9</v>
      </c>
      <c r="H372" s="491">
        <v>1240</v>
      </c>
      <c r="I372" s="492">
        <v>164</v>
      </c>
      <c r="J372" s="493">
        <f>I372/F372</f>
        <v>164</v>
      </c>
      <c r="K372" s="494">
        <f>+H372/I372</f>
        <v>7.560975609756097</v>
      </c>
      <c r="L372" s="495">
        <v>108917</v>
      </c>
      <c r="M372" s="496">
        <v>9002</v>
      </c>
      <c r="N372" s="497">
        <f>+L372/M372</f>
        <v>12.09920017773828</v>
      </c>
      <c r="O372" s="417"/>
    </row>
  </sheetData>
  <sheetProtection insertRows="0" deleteRows="0" sort="0"/>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4 L45:M57" unlockedFormula="1"/>
    <ignoredError sqref="R27:S27 R31:S31 R32:S32 R26:S26"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2011-04-25T11:00:40Z</dcterms:modified>
  <cp:category/>
  <cp:version/>
  <cp:contentType/>
  <cp:contentStatus/>
</cp:coreProperties>
</file>